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karha\Downloads\"/>
    </mc:Choice>
  </mc:AlternateContent>
  <xr:revisionPtr revIDLastSave="0" documentId="8_{61007F84-961B-47A5-8F25-12836BD9256D}" xr6:coauthVersionLast="47" xr6:coauthVersionMax="47" xr10:uidLastSave="{00000000-0000-0000-0000-000000000000}"/>
  <bookViews>
    <workbookView xWindow="-110" yWindow="-110" windowWidth="19420" windowHeight="10420" xr2:uid="{CACF9CCC-4CD1-4C1A-BA30-1C5638295B4F}"/>
  </bookViews>
  <sheets>
    <sheet name="Ohjeet" sheetId="11" r:id="rId1"/>
    <sheet name="Korjuuketju" sheetId="2" r:id="rId2"/>
    <sheet name="Hakkuukone" sheetId="4" r:id="rId3"/>
    <sheet name="Kuormatraktori" sheetId="3" r:id="rId4"/>
    <sheet name="Herkkyysanalyysi"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 l="1"/>
  <c r="I48" i="2"/>
  <c r="B14" i="2"/>
  <c r="B16" i="2" s="1"/>
  <c r="D83" i="2"/>
  <c r="D84" i="2"/>
  <c r="D82" i="2"/>
  <c r="D16" i="2" l="1"/>
  <c r="D14" i="2"/>
  <c r="G5" i="2" s="1"/>
  <c r="G32" i="2"/>
  <c r="B9" i="4"/>
  <c r="D9" i="4" s="1"/>
  <c r="D38" i="3"/>
  <c r="B9" i="3"/>
  <c r="D67" i="2"/>
  <c r="D69" i="2"/>
  <c r="G12" i="2" s="1"/>
  <c r="D70" i="2"/>
  <c r="G13" i="2" s="1"/>
  <c r="D71" i="2"/>
  <c r="D72" i="2"/>
  <c r="D73" i="2"/>
  <c r="D74" i="2"/>
  <c r="D75" i="2"/>
  <c r="D76" i="2"/>
  <c r="D66" i="2"/>
  <c r="D54" i="4"/>
  <c r="D61" i="2"/>
  <c r="D62" i="2"/>
  <c r="D63" i="2"/>
  <c r="G15" i="2" s="1"/>
  <c r="D60" i="2"/>
  <c r="D55" i="2"/>
  <c r="D56" i="2"/>
  <c r="D57" i="2"/>
  <c r="D54" i="2"/>
  <c r="D41" i="4"/>
  <c r="D20" i="2"/>
  <c r="D21" i="2"/>
  <c r="D22" i="2"/>
  <c r="D23" i="2"/>
  <c r="D24" i="2"/>
  <c r="D19" i="2"/>
  <c r="D12" i="2"/>
  <c r="D13" i="2"/>
  <c r="D15" i="2"/>
  <c r="D11" i="2"/>
  <c r="D12" i="3"/>
  <c r="C87" i="2" s="1"/>
  <c r="D6" i="2"/>
  <c r="D7" i="2"/>
  <c r="D8" i="2"/>
  <c r="D5" i="2"/>
  <c r="D6" i="3"/>
  <c r="D6" i="4"/>
  <c r="D39" i="3"/>
  <c r="D40" i="3"/>
  <c r="D41" i="3"/>
  <c r="D44" i="3"/>
  <c r="D45" i="3"/>
  <c r="D48" i="3"/>
  <c r="G41" i="2" s="1"/>
  <c r="D51" i="3"/>
  <c r="G43" i="2" s="1"/>
  <c r="D13" i="3"/>
  <c r="C88" i="2" s="1"/>
  <c r="D14" i="3"/>
  <c r="C89" i="2" s="1"/>
  <c r="D15" i="3"/>
  <c r="D7" i="3"/>
  <c r="D8" i="3"/>
  <c r="D7" i="4"/>
  <c r="D8" i="4"/>
  <c r="D15" i="4"/>
  <c r="D12" i="4"/>
  <c r="B87" i="2" s="1"/>
  <c r="D13" i="4"/>
  <c r="B88" i="2" s="1"/>
  <c r="D14" i="4"/>
  <c r="B89" i="2" s="1"/>
  <c r="D38" i="4"/>
  <c r="D57" i="4"/>
  <c r="G36" i="2" s="1"/>
  <c r="D51" i="4"/>
  <c r="D45" i="4"/>
  <c r="D46" i="4"/>
  <c r="D47" i="4"/>
  <c r="D49" i="4"/>
  <c r="D44" i="4"/>
  <c r="D40" i="4"/>
  <c r="D39" i="4"/>
  <c r="B68" i="2" l="1"/>
  <c r="B18" i="4"/>
  <c r="B19" i="4" s="1"/>
  <c r="I32" i="2"/>
  <c r="I36" i="2"/>
  <c r="D89" i="2"/>
  <c r="D88" i="2"/>
  <c r="D87" i="2"/>
  <c r="I12" i="2"/>
  <c r="I15" i="2"/>
  <c r="I13" i="2"/>
  <c r="G11" i="2"/>
  <c r="G25" i="3"/>
  <c r="G27" i="3"/>
  <c r="G14" i="2"/>
  <c r="C13" i="9"/>
  <c r="C12" i="9"/>
  <c r="C21" i="9"/>
  <c r="C25" i="9"/>
  <c r="G29" i="4"/>
  <c r="G18" i="4"/>
  <c r="G18" i="2"/>
  <c r="B18" i="3"/>
  <c r="B19" i="3" s="1"/>
  <c r="B26" i="9"/>
  <c r="B15" i="9"/>
  <c r="D9" i="3"/>
  <c r="G22" i="2" s="1"/>
  <c r="I22" i="2" s="1"/>
  <c r="I14" i="2" l="1"/>
  <c r="C9" i="9"/>
  <c r="I18" i="2"/>
  <c r="I11" i="2"/>
  <c r="G16" i="2"/>
  <c r="I16" i="2" s="1"/>
  <c r="C10" i="9"/>
  <c r="C14" i="9"/>
  <c r="G18" i="3"/>
  <c r="D18" i="3"/>
  <c r="G39" i="2" s="1"/>
  <c r="G10" i="9" l="1"/>
  <c r="G6" i="3"/>
  <c r="G6" i="4"/>
  <c r="G26" i="3"/>
  <c r="G42" i="2" s="1"/>
  <c r="G28" i="4"/>
  <c r="G7" i="3"/>
  <c r="G40" i="2"/>
  <c r="G24" i="3"/>
  <c r="G23" i="3"/>
  <c r="D68" i="2"/>
  <c r="G35" i="2" s="1"/>
  <c r="I35" i="2" s="1"/>
  <c r="G25" i="4"/>
  <c r="G28" i="3" l="1"/>
  <c r="K10" i="9"/>
  <c r="H18" i="3"/>
  <c r="I18" i="4"/>
  <c r="C24" i="9"/>
  <c r="C5" i="9"/>
  <c r="I29" i="4"/>
  <c r="I28" i="4"/>
  <c r="H26" i="3"/>
  <c r="G7" i="2"/>
  <c r="H25" i="3"/>
  <c r="I25" i="4"/>
  <c r="I27" i="3"/>
  <c r="H23" i="3"/>
  <c r="H27" i="3"/>
  <c r="G25" i="9"/>
  <c r="K25" i="9" s="1"/>
  <c r="G13" i="9"/>
  <c r="G12" i="9"/>
  <c r="G5" i="9" l="1"/>
  <c r="G24" i="9"/>
  <c r="G44" i="2"/>
  <c r="I44" i="2" s="1"/>
  <c r="I26" i="3"/>
  <c r="I23" i="3"/>
  <c r="I25" i="3"/>
  <c r="I18" i="3"/>
  <c r="D18" i="4"/>
  <c r="D19" i="4"/>
  <c r="D19" i="3"/>
  <c r="G14" i="9"/>
  <c r="K12" i="9"/>
  <c r="G21" i="9"/>
  <c r="K13" i="9"/>
  <c r="K5" i="9" l="1"/>
  <c r="G23" i="2"/>
  <c r="G19" i="3"/>
  <c r="G20" i="3" s="1"/>
  <c r="G7" i="4"/>
  <c r="G24" i="4"/>
  <c r="G30" i="2"/>
  <c r="G34" i="2"/>
  <c r="I34" i="2" s="1"/>
  <c r="G23" i="4"/>
  <c r="G27" i="4"/>
  <c r="G31" i="2"/>
  <c r="I31" i="2" s="1"/>
  <c r="G19" i="2"/>
  <c r="G20" i="2" s="1"/>
  <c r="G19" i="4"/>
  <c r="G20" i="4" s="1"/>
  <c r="H24" i="3"/>
  <c r="H28" i="3" s="1"/>
  <c r="I24" i="3"/>
  <c r="G9" i="9"/>
  <c r="K21" i="9"/>
  <c r="K24" i="9"/>
  <c r="K14" i="9"/>
  <c r="G6" i="2" l="1"/>
  <c r="I20" i="2"/>
  <c r="I30" i="2"/>
  <c r="C23" i="9"/>
  <c r="C20" i="9"/>
  <c r="I19" i="2"/>
  <c r="I23" i="2"/>
  <c r="H19" i="4"/>
  <c r="C11" i="9"/>
  <c r="G24" i="2"/>
  <c r="C19" i="9"/>
  <c r="H19" i="3"/>
  <c r="H20" i="3" s="1"/>
  <c r="I19" i="3"/>
  <c r="I20" i="3" s="1"/>
  <c r="B48" i="4"/>
  <c r="D48" i="4" s="1"/>
  <c r="H29" i="4"/>
  <c r="H28" i="4"/>
  <c r="H25" i="4"/>
  <c r="H18" i="4"/>
  <c r="B50" i="4"/>
  <c r="D50" i="4" s="1"/>
  <c r="I19" i="4"/>
  <c r="I20" i="4" s="1"/>
  <c r="I27" i="4"/>
  <c r="H27" i="4"/>
  <c r="I23" i="4"/>
  <c r="H23" i="4"/>
  <c r="H24" i="4"/>
  <c r="I24" i="4"/>
  <c r="K9" i="9"/>
  <c r="G8" i="2" l="1"/>
  <c r="H30" i="2" s="1"/>
  <c r="C16" i="9"/>
  <c r="I24" i="2"/>
  <c r="I26" i="2" s="1"/>
  <c r="G26" i="2"/>
  <c r="G33" i="2"/>
  <c r="G26" i="4"/>
  <c r="G30" i="4" s="1"/>
  <c r="H20" i="4"/>
  <c r="H16" i="2" l="1"/>
  <c r="H24" i="2"/>
  <c r="H20" i="2"/>
  <c r="H13" i="2"/>
  <c r="H15" i="2"/>
  <c r="H42" i="2"/>
  <c r="H34" i="2"/>
  <c r="H35" i="2"/>
  <c r="H44" i="2"/>
  <c r="H14" i="2"/>
  <c r="H40" i="2"/>
  <c r="H32" i="2"/>
  <c r="H11" i="2"/>
  <c r="C6" i="9"/>
  <c r="D14" i="9" s="1"/>
  <c r="E14" i="9" s="1"/>
  <c r="H36" i="2"/>
  <c r="H23" i="2"/>
  <c r="H39" i="2"/>
  <c r="I43" i="2"/>
  <c r="G12" i="4"/>
  <c r="I12" i="4" s="1"/>
  <c r="G11" i="4"/>
  <c r="I11" i="4" s="1"/>
  <c r="H12" i="2"/>
  <c r="H43" i="2"/>
  <c r="H31" i="2"/>
  <c r="H22" i="2"/>
  <c r="I40" i="2"/>
  <c r="H18" i="2"/>
  <c r="H19" i="2"/>
  <c r="G11" i="3"/>
  <c r="G12" i="3"/>
  <c r="G13" i="3"/>
  <c r="G14" i="3"/>
  <c r="G10" i="3"/>
  <c r="H41" i="2"/>
  <c r="I42" i="2"/>
  <c r="G10" i="4"/>
  <c r="I39" i="2"/>
  <c r="G13" i="4"/>
  <c r="I41" i="2"/>
  <c r="G14" i="4"/>
  <c r="H33" i="2"/>
  <c r="I33" i="2"/>
  <c r="G37" i="2"/>
  <c r="I37" i="2" s="1"/>
  <c r="I46" i="2" s="1"/>
  <c r="C22" i="9"/>
  <c r="I26" i="4"/>
  <c r="H26" i="4"/>
  <c r="G11" i="9"/>
  <c r="G19" i="9"/>
  <c r="G23" i="9"/>
  <c r="G20" i="9"/>
  <c r="H26" i="2" l="1"/>
  <c r="D25" i="9"/>
  <c r="E25" i="9" s="1"/>
  <c r="G6" i="9"/>
  <c r="H24" i="9" s="1"/>
  <c r="I24" i="9" s="1"/>
  <c r="D21" i="9"/>
  <c r="E21" i="9" s="1"/>
  <c r="D13" i="9"/>
  <c r="E13" i="9" s="1"/>
  <c r="D22" i="9"/>
  <c r="E22" i="9" s="1"/>
  <c r="D23" i="9"/>
  <c r="E23" i="9" s="1"/>
  <c r="D24" i="9"/>
  <c r="E24" i="9" s="1"/>
  <c r="D9" i="9"/>
  <c r="E9" i="9" s="1"/>
  <c r="D20" i="9"/>
  <c r="E20" i="9" s="1"/>
  <c r="D10" i="9"/>
  <c r="E10" i="9" s="1"/>
  <c r="D11" i="9"/>
  <c r="E11" i="9" s="1"/>
  <c r="D12" i="9"/>
  <c r="E12" i="9" s="1"/>
  <c r="D19" i="9"/>
  <c r="E19" i="9" s="1"/>
  <c r="H12" i="4"/>
  <c r="H11" i="4"/>
  <c r="H10" i="4"/>
  <c r="G15" i="4"/>
  <c r="G32" i="4" s="1"/>
  <c r="I10" i="4"/>
  <c r="I14" i="4"/>
  <c r="H14" i="4"/>
  <c r="H10" i="3"/>
  <c r="G15" i="3"/>
  <c r="G30" i="3" s="1"/>
  <c r="I10" i="3"/>
  <c r="H14" i="3"/>
  <c r="I14" i="3"/>
  <c r="H13" i="3"/>
  <c r="I13" i="3"/>
  <c r="H12" i="3"/>
  <c r="I12" i="3"/>
  <c r="I13" i="4"/>
  <c r="H13" i="4"/>
  <c r="I11" i="3"/>
  <c r="H11" i="3"/>
  <c r="H20" i="9"/>
  <c r="I20" i="9" s="1"/>
  <c r="H37" i="2"/>
  <c r="H46" i="2" s="1"/>
  <c r="G46" i="2"/>
  <c r="G48" i="2" s="1"/>
  <c r="K11" i="9"/>
  <c r="K16" i="9" s="1"/>
  <c r="H30" i="4"/>
  <c r="I30" i="4"/>
  <c r="G16" i="9"/>
  <c r="K20" i="9"/>
  <c r="K23" i="9"/>
  <c r="K19" i="9"/>
  <c r="M20" i="9" l="1"/>
  <c r="H12" i="9"/>
  <c r="I12" i="9" s="1"/>
  <c r="M12" i="9" s="1"/>
  <c r="M24" i="9"/>
  <c r="H14" i="9"/>
  <c r="I14" i="9" s="1"/>
  <c r="M14" i="9" s="1"/>
  <c r="H11" i="9"/>
  <c r="I11" i="9" s="1"/>
  <c r="M11" i="9" s="1"/>
  <c r="H25" i="9"/>
  <c r="I25" i="9" s="1"/>
  <c r="M25" i="9" s="1"/>
  <c r="H13" i="9"/>
  <c r="I13" i="9" s="1"/>
  <c r="M13" i="9" s="1"/>
  <c r="H9" i="9"/>
  <c r="I9" i="9" s="1"/>
  <c r="M9" i="9" s="1"/>
  <c r="H19" i="9"/>
  <c r="I19" i="9" s="1"/>
  <c r="M19" i="9" s="1"/>
  <c r="H21" i="9"/>
  <c r="I21" i="9" s="1"/>
  <c r="M21" i="9" s="1"/>
  <c r="K6" i="9"/>
  <c r="H10" i="9"/>
  <c r="I10" i="9" s="1"/>
  <c r="M10" i="9" s="1"/>
  <c r="H23" i="9"/>
  <c r="I23" i="9" s="1"/>
  <c r="M23" i="9" s="1"/>
  <c r="D16" i="9"/>
  <c r="E16" i="9"/>
  <c r="I15" i="4"/>
  <c r="I32" i="4" s="1"/>
  <c r="H15" i="3"/>
  <c r="H30" i="3" s="1"/>
  <c r="I15" i="3"/>
  <c r="H15" i="4"/>
  <c r="H32" i="4" s="1"/>
  <c r="J37" i="2"/>
  <c r="L20" i="9"/>
  <c r="J16" i="2"/>
  <c r="J20" i="2"/>
  <c r="J33" i="2"/>
  <c r="L24" i="9"/>
  <c r="J42" i="2"/>
  <c r="J11" i="2"/>
  <c r="J44" i="2"/>
  <c r="J15" i="2"/>
  <c r="J43" i="2"/>
  <c r="J23" i="2"/>
  <c r="J34" i="2"/>
  <c r="J41" i="2"/>
  <c r="J35" i="2"/>
  <c r="J13" i="2"/>
  <c r="J24" i="2"/>
  <c r="J31" i="2"/>
  <c r="J12" i="2"/>
  <c r="J14" i="2"/>
  <c r="J32" i="2"/>
  <c r="J18" i="2"/>
  <c r="J30" i="2"/>
  <c r="J39" i="2"/>
  <c r="J22" i="2"/>
  <c r="J36" i="2"/>
  <c r="L10" i="9"/>
  <c r="J40" i="2"/>
  <c r="J19" i="2"/>
  <c r="C27" i="9"/>
  <c r="C29" i="9" s="1"/>
  <c r="G22" i="9"/>
  <c r="H22" i="9" s="1"/>
  <c r="E27" i="9"/>
  <c r="D27" i="9"/>
  <c r="I28" i="3"/>
  <c r="L14" i="9" l="1"/>
  <c r="L13" i="9"/>
  <c r="L25" i="9"/>
  <c r="L23" i="9"/>
  <c r="L19" i="9"/>
  <c r="L11" i="9"/>
  <c r="D29" i="9"/>
  <c r="L21" i="9"/>
  <c r="L12" i="9"/>
  <c r="L9" i="9"/>
  <c r="H16" i="9"/>
  <c r="E29" i="9"/>
  <c r="I30" i="3"/>
  <c r="I22" i="9"/>
  <c r="M22" i="9" s="1"/>
  <c r="L22" i="9"/>
  <c r="K22" i="9"/>
  <c r="K27" i="9" s="1"/>
  <c r="K29" i="9" s="1"/>
  <c r="G27" i="9"/>
  <c r="G29" i="9" s="1"/>
  <c r="L16" i="9" l="1"/>
  <c r="M27" i="9"/>
  <c r="I27" i="9"/>
  <c r="L27" i="9"/>
  <c r="H27" i="9"/>
  <c r="H29" i="9" s="1"/>
  <c r="M16" i="9"/>
  <c r="I16" i="9"/>
  <c r="L29" i="9" l="1"/>
  <c r="J26" i="2"/>
  <c r="J46" i="2"/>
  <c r="M29" i="9"/>
  <c r="I29" i="9"/>
  <c r="J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tc={B937685A-2B0C-4B6C-9FCC-A79B932A651A}</author>
    <author>tc={0B838B5D-A0D1-4DDB-AAC5-3A5EBFE21276}</author>
    <author>tc={C77FB183-31FB-40A3-A0FB-06ED310DF58D}</author>
    <author>tc={C82F8561-377E-47BA-BF47-75D5A95A10CC}</author>
    <author>tc={217216CD-0BA4-4D60-8E71-F285BE36E935}</author>
    <author>tc={480975C1-9084-43AA-B2B9-2426D44D1E9E}</author>
    <author>tc={D38171D8-8B3F-411F-9DB4-851EADFCC0A1}</author>
    <author>tc={24133B5C-BA4A-487E-A1CA-F6E6183D725D}</author>
    <author>tc={6FB159CB-27F5-4B44-9863-68A29921D100}</author>
    <author>tc={C211FA0E-F74F-4DBC-9FE1-4B0C1C89112C}</author>
    <author>tc={FF05E80C-2592-4CC3-B7BF-312E1480100A}</author>
    <author>tc={A0125793-81D5-4E6F-8033-F59D6D444B11}</author>
    <author>tc={4F3F399E-8C01-4339-96F4-AF2C01B13DD2}</author>
    <author>tc={95E8ACA3-79E2-4C24-A9BB-ACB1FD25BD2A}</author>
    <author>tc={BDA94537-39AF-4793-AC6F-FD1A8DBA5BA9}</author>
    <author>tc={215B9327-DB19-477E-AD91-99986D95032B}</author>
    <author>tc={407AECF7-6C48-4843-A831-80EF427AA1D0}</author>
    <author>tc={E0EF946B-4ACC-4215-A566-A6CB50AE919C}</author>
    <author>tc={CE0F5A87-7F91-4546-846C-A83B9ED77B81}</author>
    <author>tc={D6BF7497-F6B4-4782-8B47-F84104622942}</author>
    <author>tc={7748B99F-515C-4536-ACBB-7519A9388A9E}</author>
    <author>tc={E8894C3D-789B-437D-9023-31A377D19717}</author>
    <author>tc={97DAC86A-FA71-4367-B1D0-D61671F1E9EE}</author>
    <author>tc={92D15AAA-0B56-4B2B-ABA8-CC039D5BA899}</author>
    <author>tc={8A912458-811F-4269-B15C-A861CF45A3D3}</author>
    <author>tc={9993DF62-C60B-4FA3-B06A-EE34757135FF}</author>
    <author>tc={7E91B94A-C4DB-405C-8DCE-98B61634D2E5}</author>
    <author>tc={60BB754F-D6DB-40C2-90EA-43DE8AD2481E}</author>
    <author>tc={E6E6449A-D15B-43A2-919B-3DD093C4BD1F}</author>
    <author>tc={4ADEF623-2D84-4DDF-8225-FA5C5747D5F4}</author>
    <author>tc={56CDC936-E0C2-4C6F-90ED-A7ACA05130F0}</author>
    <author>tc={29DB7565-6812-40AC-82BA-B9ADC52DB95F}</author>
    <author>tc={725A83EE-6ED9-401E-80E8-DBEF60B24A49}</author>
    <author>tc={B6E7C0C3-1853-42D6-A171-C26CFEBD4060}</author>
    <author>tc={F43819E9-9D1D-4F0F-876E-0485A6DA1F77}</author>
    <author>tc={29A675F7-8EDE-4F05-88FB-E5C3F3F13A7C}</author>
    <author>tc={F89EDB68-74EF-43F1-8A99-E8927760FE69}</author>
    <author>tc={9193BB35-60DF-41EE-A823-C18BC5EF01FA}</author>
  </authors>
  <commentList>
    <comment ref="B5" authorId="0" shapeId="0" xr:uid="{B937685A-2B0C-4B6C-9FCC-A79B932A651A}">
      <text>
        <t>[Kommenttiketju]
Excel-versiosi avulla voit lukea tämän kommenttiketjun, mutta siihen tehdyt muutokset poistetaan, jos tiedosto avataan uudemmassa Excel-versiossa. Lisätietoja: https://go.microsoft.com/fwlink/?linkid=870924
Kommentti:
    Täytä laskuriin, paljonko sinulla on sidottuna yrityksen omaa pääomaa laskennan kohteena olevaan koneketjuun tai yksittäiseen koneeseen. Älä täytä siis koko yrityksen omaa pääomaa tähän soluun.</t>
      </text>
    </comment>
    <comment ref="G5" authorId="1" shapeId="0" xr:uid="{0B838B5D-A0D1-4DDB-AAC5-3A5EBFE21276}">
      <text>
        <t>[Kommenttiketju]
Excel-versiosi avulla voit lukea tämän kommenttiketjun, mutta siihen tehdyt muutokset poistetaan, jos tiedosto avataan uudemmassa Excel-versiossa. Lisätietoja: https://go.microsoft.com/fwlink/?linkid=870924
Kommentti:
    Tämä tulostuu automaattisesti solusta D14</t>
      </text>
    </comment>
    <comment ref="B6" authorId="2" shapeId="0" xr:uid="{C77FB183-31FB-40A3-A0FB-06ED310DF58D}">
      <text>
        <t>[Kommenttiketju]
Excel-versiosi avulla voit lukea tämän kommenttiketjun, mutta siihen tehdyt muutokset poistetaan, jos tiedosto avataan uudemmassa Excel-versiossa. Lisätietoja: https://go.microsoft.com/fwlink/?linkid=870924
Kommentti:
    Täytä laskuriin, paljonko vaadit korkoa omalle pääomallesi</t>
      </text>
    </comment>
    <comment ref="G6" authorId="3" shapeId="0" xr:uid="{C82F8561-377E-47BA-BF47-75D5A95A10CC}">
      <text>
        <t>[Kommenttiketju]
Excel-versiosi avulla voit lukea tämän kommenttiketjun, mutta siihen tehdyt muutokset poistetaan, jos tiedosto avataan uudemmassa Excel-versiossa. Lisätietoja: https://go.microsoft.com/fwlink/?linkid=870924
Kommentti:
    Tämä johdetaan hakkuukoneen laskennallisista käyttötunneista</t>
      </text>
    </comment>
    <comment ref="B7" authorId="4" shapeId="0" xr:uid="{217216CD-0BA4-4D60-8E71-F285BE36E935}">
      <text>
        <t>[Kommenttiketju]
Excel-versiosi avulla voit lukea tämän kommenttiketjun, mutta siihen tehdyt muutokset poistetaan, jos tiedosto avataan uudemmassa Excel-versiossa. Lisätietoja: https://go.microsoft.com/fwlink/?linkid=870924
Kommentti:
    Täytä laskuriin, paljonko sinulla on sidottuna yrityksen vierasta pääomaa laskennan kohteena olevaan koneketjuun tai yksittäiseen koneeseen. Älä täytä siis koko yrityksen vierasta pääomaa tähän soluun. Vieras pääoma on yritykseen sijoitettua pääomaa, johon ei yleensä liity omistusoikeutta yrityksessä. Vieras pääoma on tavallisesti velkaa.</t>
      </text>
    </comment>
    <comment ref="G7" authorId="5" shapeId="0" xr:uid="{480975C1-9084-43AA-B2B9-2426D44D1E9E}">
      <text>
        <t>[Kommenttiketju]
Excel-versiosi avulla voit lukea tämän kommenttiketjun, mutta siihen tehdyt muutokset poistetaan, jos tiedosto avataan uudemmassa Excel-versiossa. Lisätietoja: https://go.microsoft.com/fwlink/?linkid=870924
Kommentti:
    Tämä johdetaan kuormatraktorin laskennallisista käyttötunneista</t>
      </text>
    </comment>
    <comment ref="B8" authorId="6" shapeId="0" xr:uid="{D38171D8-8B3F-411F-9DB4-851EADFCC0A1}">
      <text>
        <t xml:space="preserve">[Kommenttiketju]
Excel-versiosi avulla voit lukea tämän kommenttiketjun, mutta siihen tehdyt muutokset poistetaan, jos tiedosto avataan uudemmassa Excel-versiossa. Lisätietoja: https://go.microsoft.com/fwlink/?linkid=870924
Kommentti:
    Vieraan pääoman korko määritetään etukäteen lainaneuvotteluissa ja yritys on velvollinen maksamaan koron sopimuksen mukaisesti. </t>
      </text>
    </comment>
    <comment ref="G8" authorId="7" shapeId="0" xr:uid="{24133B5C-BA4A-487E-A1CA-F6E6183D725D}">
      <text>
        <t>[Kommenttiketju]
Excel-versiosi avulla voit lukea tämän kommenttiketjun, mutta siihen tehdyt muutokset poistetaan, jos tiedosto avataan uudemmassa Excel-versiossa. Lisätietoja: https://go.microsoft.com/fwlink/?linkid=870924
Kommentti:
    Tämä johdetaan hakkuukoneen ja kuormatraktorin laskennallisista käyttötunneista</t>
      </text>
    </comment>
    <comment ref="H10" authorId="8" shapeId="0" xr:uid="{6FB159CB-27F5-4B44-9863-68A29921D100}">
      <text>
        <t>[Kommenttiketju]
Excel-versiosi avulla voit lukea tämän kommenttiketjun, mutta siihen tehdyt muutokset poistetaan, jos tiedosto avataan uudemmassa Excel-versiossa. Lisätietoja: https://go.microsoft.com/fwlink/?linkid=870924
Kommentti:
    Tässä sarakkeessa kustannukset ovat suhteutettu hakkuukoneen ja metsätraktorin yhteisiin käyttötunteihin</t>
      </text>
    </comment>
    <comment ref="B11" authorId="9" shapeId="0" xr:uid="{C211FA0E-F74F-4DBC-9FE1-4B0C1C89112C}">
      <text>
        <t>[Kommenttiketju]
Excel-versiosi avulla voit lukea tämän kommenttiketjun, mutta siihen tehdyt muutokset poistetaan, jos tiedosto avataan uudemmassa Excel-versiossa. Lisätietoja: https://go.microsoft.com/fwlink/?linkid=870924
Kommentti:
    Täytä korjuumäärät työmaalajeittain</t>
      </text>
    </comment>
    <comment ref="B12" authorId="10" shapeId="0" xr:uid="{FF05E80C-2592-4CC3-B7BF-312E1480100A}">
      <text>
        <t>[Kommenttiketju]
Excel-versiosi avulla voit lukea tämän kommenttiketjun, mutta siihen tehdyt muutokset poistetaan, jos tiedosto avataan uudemmassa Excel-versiossa. Lisätietoja: https://go.microsoft.com/fwlink/?linkid=870924
Kommentti:
    Tähän sarakkeeseen täytä kaikkien muiden työlajien alla korjatut kuutiot kuin ensiharvennuksissa ja uudistushakkuissa korjatut kiintokuutiometrit</t>
      </text>
    </comment>
    <comment ref="B14" authorId="11" shapeId="0" xr:uid="{A0125793-81D5-4E6F-8033-F59D6D444B11}">
      <text>
        <t>[Kommenttiketju]
Excel-versiosi avulla voit lukea tämän kommenttiketjun, mutta siihen tehdyt muutokset poistetaan, jos tiedosto avataan uudemmassa Excel-versiossa. Lisätietoja: https://go.microsoft.com/fwlink/?linkid=870924
Kommentti:
    Malli laskee korjuumäärät yhteen automaattisesti</t>
      </text>
    </comment>
    <comment ref="B15" authorId="12" shapeId="0" xr:uid="{4F3F399E-8C01-4339-96F4-AF2C01B13DD2}">
      <text>
        <t>[Kommenttiketju]
Excel-versiosi avulla voit lukea tämän kommenttiketjun, mutta siihen tehdyt muutokset poistetaan, jos tiedosto avataan uudemmassa Excel-versiossa. Lisätietoja: https://go.microsoft.com/fwlink/?linkid=870924
Kommentti:
    Täytä työmaan keskikoko korjattuina kiintokuutioina</t>
      </text>
    </comment>
    <comment ref="B16" authorId="13" shapeId="0" xr:uid="{95E8ACA3-79E2-4C24-A9BB-ACB1FD25BD2A}">
      <text>
        <t>[Kommenttiketju]
Excel-versiosi avulla voit lukea tämän kommenttiketjun, mutta siihen tehdyt muutokset poistetaan, jos tiedosto avataan uudemmassa Excel-versiossa. Lisätietoja: https://go.microsoft.com/fwlink/?linkid=870924
Kommentti:
    Malli laskee työmaiden määrän automaattisesti</t>
      </text>
    </comment>
    <comment ref="B19" authorId="14" shapeId="0" xr:uid="{BDA94537-39AF-4793-AC6F-FD1A8DBA5BA9}">
      <text>
        <t>[Kommenttiketju]
Excel-versiosi avulla voit lukea tämän kommenttiketjun, mutta siihen tehdyt muutokset poistetaan, jos tiedosto avataan uudemmassa Excel-versiossa. Lisätietoja: https://go.microsoft.com/fwlink/?linkid=870924
Kommentti:
    Täytä yksikköhinnat manuaalisesti ja käytä yksikkökustannuksissa alvittomia hintoja (Alv 0 -%)</t>
      </text>
    </comment>
    <comment ref="H48" authorId="15" shapeId="0" xr:uid="{215B9327-DB19-477E-AD91-99986D95032B}">
      <text>
        <t>[Kommenttiketju]
Excel-versiosi avulla voit lukea tämän kommenttiketjun, mutta siihen tehdyt muutokset poistetaan, jos tiedosto avataan uudemmassa Excel-versiossa. Lisätietoja: https://go.microsoft.com/fwlink/?linkid=870924
Kommentti:
    Huomaa, että tällä välilehdellä Hakkuukoneen ja kuormatraktorin kokonaiskustannukset (€/v) ovat suhteutettu pelkästään hakkuukoneen ja kuormatraktorin laskennallisiin käyttötunteihin yhteensä (Solu G8).</t>
      </text>
    </comment>
    <comment ref="B54" authorId="16" shapeId="0" xr:uid="{407AECF7-6C48-4843-A831-80EF427AA1D0}">
      <text>
        <t>[Kommenttiketju]
Excel-versiosi avulla voit lukea tämän kommenttiketjun, mutta siihen tehdyt muutokset poistetaan, jos tiedosto avataan uudemmassa Excel-versiossa. Lisätietoja: https://go.microsoft.com/fwlink/?linkid=870924
Kommentti:
    Älä täytä kilometrikorvauksien määrää, mikäli työntekijät käyttävät puunkorjuuyrityksen autoja.</t>
      </text>
    </comment>
    <comment ref="B55" authorId="17" shapeId="0" xr:uid="{E0EF946B-4ACC-4215-A566-A6CB50AE919C}">
      <text>
        <t>[Kommenttiketju]
Excel-versiosi avulla voit lukea tämän kommenttiketjun, mutta siihen tehdyt muutokset poistetaan, jos tiedosto avataan uudemmassa Excel-versiossa. Lisätietoja: https://go.microsoft.com/fwlink/?linkid=870924
Kommentti:
    Ateriakorvaus, korotettu ateriakorvaus sekä ylläpitokorvaus ovat kiinteitä ja muuttuvat yleensä noin vuoden sykleissä.</t>
      </text>
    </comment>
    <comment ref="B60" authorId="18" shapeId="0" xr:uid="{CE0F5A87-7F91-4546-846C-A83B9ED77B81}">
      <text>
        <t>[Kommenttiketju]
Excel-versiosi avulla voit lukea tämän kommenttiketjun, mutta siihen tehdyt muutokset poistetaan, jos tiedosto avataan uudemmassa Excel-versiossa. Lisätietoja: https://go.microsoft.com/fwlink/?linkid=870924
Kommentti:
    Täytä hakkuukoneenkuljettajan sekä kuormatraktorinkuljettajan tuntipalkka</t>
      </text>
    </comment>
    <comment ref="B62" authorId="19" shapeId="0" xr:uid="{D6BF7497-F6B4-4782-8B47-F84104622942}">
      <text>
        <t>[Kommenttiketju]
Excel-versiosi avulla voit lukea tämän kommenttiketjun, mutta siihen tehdyt muutokset poistetaan, jos tiedosto avataan uudemmassa Excel-versiossa. Lisätietoja: https://go.microsoft.com/fwlink/?linkid=870924
Kommentti:
    Pakollisten lisäkustannusten prosentti muodostuu esimerkiksi työeläkevakuutusmaksuista ja palkan maksuun sidotuista sivukuluista.</t>
      </text>
    </comment>
    <comment ref="B63" authorId="20" shapeId="0" xr:uid="{7748B99F-515C-4536-ACBB-7519A9388A9E}">
      <text>
        <t>[Kommenttiketju]
Excel-versiosi avulla voit lukea tämän kommenttiketjun, mutta siihen tehdyt muutokset poistetaan, jos tiedosto avataan uudemmassa Excel-versiossa. Lisätietoja: https://go.microsoft.com/fwlink/?linkid=870924
Kommentti:
    Tällä tarkoitetaan kehityskustannuksia, työhyvinvointi-kustannuksia tai muita tämän kaltaisia kustannuksia per korjuuketju tai kone riippuen laskentatavasta.</t>
      </text>
    </comment>
    <comment ref="B66" authorId="21" shapeId="0" xr:uid="{E8894C3D-789B-437D-9023-31A377D19717}">
      <text>
        <t>[Kommenttiketju]
Excel-versiosi avulla voit lukea tämän kommenttiketjun, mutta siihen tehdyt muutokset poistetaan, jos tiedosto avataan uudemmassa Excel-versiossa. Lisätietoja: https://go.microsoft.com/fwlink/?linkid=870924
Kommentti:
    Täytä koneen keskimääräinen siirtokustannus lavetilla yksikössä € / km</t>
      </text>
    </comment>
    <comment ref="B67" authorId="22" shapeId="0" xr:uid="{97DAC86A-FA71-4367-B1D0-D61671F1E9EE}">
      <text>
        <t>[Kommenttiketju]
Excel-versiosi avulla voit lukea tämän kommenttiketjun, mutta siihen tehdyt muutokset poistetaan, jos tiedosto avataan uudemmassa Excel-versiossa. Lisätietoja: https://go.microsoft.com/fwlink/?linkid=870924
Kommentti:
    Täytä lavetilla ajetut kilometrit vuodessa</t>
      </text>
    </comment>
    <comment ref="B68" authorId="23" shapeId="0" xr:uid="{92D15AAA-0B56-4B2B-ABA8-CC039D5BA899}">
      <text>
        <t>[Kommenttiketju]
Excel-versiosi avulla voit lukea tämän kommenttiketjun, mutta siihen tehdyt muutokset poistetaan, jos tiedosto avataan uudemmassa Excel-versiossa. Lisätietoja: https://go.microsoft.com/fwlink/?linkid=870924
Kommentti:
    Malli laskee yllä annettujen arvojen perusteella automaattisesti puunkorjuuketjun siirtokustannukset vuodessa</t>
      </text>
    </comment>
    <comment ref="B69" authorId="24" shapeId="0" xr:uid="{8A912458-811F-4269-B15C-A861CF45A3D3}">
      <text>
        <t>[Kommenttiketju]
Excel-versiosi avulla voit lukea tämän kommenttiketjun, mutta siihen tehdyt muutokset poistetaan, jos tiedosto avataan uudemmassa Excel-versiossa. Lisätietoja: https://go.microsoft.com/fwlink/?linkid=870924
Kommentti:
    Täytä kaluston vakuutuskustannukset vuodessa</t>
      </text>
    </comment>
    <comment ref="B70" authorId="25" shapeId="0" xr:uid="{9993DF62-C60B-4FA3-B06A-EE34757135FF}">
      <text>
        <t>[Kommenttiketju]
Excel-versiosi avulla voit lukea tämän kommenttiketjun, mutta siihen tehdyt muutokset poistetaan, jos tiedosto avataan uudemmassa Excel-versiossa. Lisätietoja: https://go.microsoft.com/fwlink/?linkid=870924
Kommentti:
    Täytä puunkorjuuketjun hallinto - ja työnjohtokustannukset euroa per korjuuketju per vuosi</t>
      </text>
    </comment>
    <comment ref="B71" authorId="26" shapeId="0" xr:uid="{7E91B94A-C4DB-405C-8DCE-98B61634D2E5}">
      <text>
        <t>[Kommenttiketju]
Excel-versiosi avulla voit lukea tämän kommenttiketjun, mutta siihen tehdyt muutokset poistetaan, jos tiedosto avataan uudemmassa Excel-versiossa. Lisätietoja: https://go.microsoft.com/fwlink/?linkid=870924
Kommentti:
    Täytä markkinointi ja myyntikustannukset €/korjuuketju/v</t>
      </text>
    </comment>
    <comment ref="B72" authorId="27" shapeId="0" xr:uid="{60BB754F-D6DB-40C2-90EA-43DE8AD2481E}">
      <text>
        <t xml:space="preserve">[Kommenttiketju]
Excel-versiosi avulla voit lukea tämän kommenttiketjun, mutta siihen tehdyt muutokset poistetaan, jos tiedosto avataan uudemmassa Excel-versiossa. Lisätietoja: https://go.microsoft.com/fwlink/?linkid=870924
Kommentti:
    Täytä vuosittaiset puunkorjuuketjun kiinteistökustannukset </t>
      </text>
    </comment>
    <comment ref="B73" authorId="28" shapeId="0" xr:uid="{E6E6449A-D15B-43A2-919B-3DD093C4BD1F}">
      <text>
        <t>[Kommenttiketju]
Excel-versiosi avulla voit lukea tämän kommenttiketjun, mutta siihen tehdyt muutokset poistetaan, jos tiedosto avataan uudemmassa Excel-versiossa. Lisätietoja: https://go.microsoft.com/fwlink/?linkid=870924
Kommentti:
    Täytä arvio tarvike - ja työkalukuluista koneketjutasolla vuosittain</t>
      </text>
    </comment>
    <comment ref="B74" authorId="29" shapeId="0" xr:uid="{4ADEF623-2D84-4DDF-8225-FA5C5747D5F4}">
      <text>
        <t>[Kommenttiketju]
Excel-versiosi avulla voit lukea tämän kommenttiketjun, mutta siihen tehdyt muutokset poistetaan, jos tiedosto avataan uudemmassa Excel-versiossa. Lisätietoja: https://go.microsoft.com/fwlink/?linkid=870924
Kommentti:
    Täytä sovellus ja tietotekniikkakulut vuositasolla puunkorjuuyrityksessä. Näitä ovat esimerkiksi Trimble, WoodForce, Puhelin ja dataliikenne, Office365 yms...</t>
      </text>
    </comment>
    <comment ref="B75" authorId="30" shapeId="0" xr:uid="{56CDC936-E0C2-4C6F-90ED-A7ACA05130F0}">
      <text>
        <t>[Kommenttiketju]
Excel-versiosi avulla voit lukea tämän kommenttiketjun, mutta siihen tehdyt muutokset poistetaan, jos tiedosto avataan uudemmassa Excel-versiossa. Lisätietoja: https://go.microsoft.com/fwlink/?linkid=870924
Kommentti:
    Jyvitä puunkorjuuyrityksen ajoneuvoustannukset könttänä tälle riville, mikäli et maksa työntekijöille korvausta oman auton käytöstä</t>
      </text>
    </comment>
    <comment ref="B76" authorId="31" shapeId="0" xr:uid="{29DB7565-6812-40AC-82BA-B9ADC52DB95F}">
      <text>
        <t>[Kommenttiketju]
Excel-versiosi avulla voit lukea tämän kommenttiketjun, mutta siihen tehdyt muutokset poistetaan, jos tiedosto avataan uudemmassa Excel-versiossa. Lisätietoja: https://go.microsoft.com/fwlink/?linkid=870924
Kommentti:
    Täytä muut puunkorjuuyrityksen kulut vuositasolla</t>
      </text>
    </comment>
    <comment ref="B82" authorId="32" shapeId="0" xr:uid="{725A83EE-6ED9-401E-80E8-DBEF60B24A49}">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hakkuutapakohtainen tuntikustannus</t>
      </text>
    </comment>
    <comment ref="C82" authorId="33" shapeId="0" xr:uid="{B6E7C0C3-1853-42D6-A171-C26CFEBD4060}">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metsäkuljetuskohtainen tuntikustannus</t>
      </text>
    </comment>
    <comment ref="B83" authorId="34" shapeId="0" xr:uid="{F43819E9-9D1D-4F0F-876E-0485A6DA1F77}">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hakkuutapakohtainen tuntikustannus</t>
      </text>
    </comment>
    <comment ref="C83" authorId="35" shapeId="0" xr:uid="{29A675F7-8EDE-4F05-88FB-E5C3F3F13A7C}">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hakkuutapakohtainen tuntikustannus</t>
      </text>
    </comment>
    <comment ref="B84" authorId="36" shapeId="0" xr:uid="{F89EDB68-74EF-43F1-8A99-E8927760FE69}">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hakkuutapakohtainen tuntikustannus.</t>
      </text>
    </comment>
    <comment ref="C84" authorId="37" shapeId="0" xr:uid="{9193BB35-60DF-41EE-A823-C18BC5EF01FA}">
      <text>
        <t>[Kommenttiketju]
Excel-versiosi avulla voit lukea tämän kommenttiketjun, mutta siihen tehdyt muutokset poistetaan, jos tiedosto avataan uudemmassa Excel-versiossa. Lisätietoja: https://go.microsoft.com/fwlink/?linkid=870924
Kommentti:
    Syötä näihin soluihin laskemasi tai arvioimasi työlajikohtainen ja hakkuutapakohtainen tuntikustannus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tc={FEB5C19B-91C6-4A89-BD08-7B7031BD2D6C}</author>
    <author>tc={94E9DE9D-E3DE-4293-BB71-8EF21C65632C}</author>
    <author>tc={791851B3-BE3F-4A5F-AEE4-84F91CA13BF0}</author>
    <author>tc={661DC985-D27C-431F-8E99-80503008ACB2}</author>
    <author>tc={989A1C70-160E-42E1-9A02-91495E53A7F3}</author>
    <author>tc={3B098C76-F75E-4BFD-B1B9-AC32A0033BE1}</author>
    <author>tc={7C50A6C7-D749-4CE8-B416-1CB863036859}</author>
    <author>tc={60FFCC9C-A4D9-4F27-96CA-9D0856A726CB}</author>
    <author>tc={D931B7C2-D2E6-4B03-91B2-EEBBF8307069}</author>
    <author>tc={548C8434-09F2-4342-9AA4-5FA7EF70FAC3}</author>
    <author>tc={867068B5-B2C3-4AE5-B8EC-D971AA3B279D}</author>
    <author>tc={DD09164E-4538-4FBC-8BCF-93AFF690F9D8}</author>
    <author>tc={131DEB47-3296-4696-9A88-39313F7A5EF5}</author>
    <author>tc={50AA728F-70DA-4525-8828-B3A21653B44E}</author>
    <author>tc={7CC9F78F-5B8D-4954-A8EE-8E1567BB73D7}</author>
    <author>tc={2829CC78-D6BA-44BF-A191-83CCC21FCB2B}</author>
    <author>tc={479AED81-1E8C-4200-8A74-6D22D453B626}</author>
    <author>tc={3B08A884-AC31-4176-AF4A-51F6BAB5D8E6}</author>
    <author>tc={A3AD1D6F-7031-4234-9EE5-1854DF7B148C}</author>
    <author>tc={607F9F87-AC60-4D86-A486-8A11474A27B0}</author>
    <author>tc={72356CD8-5508-4D70-B3AD-16BF2D876E70}</author>
  </authors>
  <commentList>
    <comment ref="B6" authorId="0" shapeId="0" xr:uid="{FEB5C19B-91C6-4A89-BD08-7B7031BD2D6C}">
      <text>
        <t>[Kommenttiketju]
Excel-versiosi avulla voit lukea tämän kommenttiketjun, mutta siihen tehdyt muutokset poistetaan, jos tiedosto avataan uudemmassa Excel-versiossa. Lisätietoja: https://go.microsoft.com/fwlink/?linkid=870924
Kommentti:
    Täytä hakkuukoneen hankintahinta. Viitearvoksi on asetettu uuden koneen hankintahinta.</t>
      </text>
    </comment>
    <comment ref="B7" authorId="1" shapeId="0" xr:uid="{94E9DE9D-E3DE-4293-BB71-8EF21C65632C}">
      <text>
        <t>[Kommenttiketju]
Excel-versiosi avulla voit lukea tämän kommenttiketjun, mutta siihen tehdyt muutokset poistetaan, jos tiedosto avataan uudemmassa Excel-versiossa. Lisätietoja: https://go.microsoft.com/fwlink/?linkid=870924
Kommentti:
    Täytä hakkuukoneen pitoaika. Uudella koneella pitoaika on pidempi ja vanhalla todennäköisesti pienempi.</t>
      </text>
    </comment>
    <comment ref="B8" authorId="2" shapeId="0" xr:uid="{791851B3-BE3F-4A5F-AEE4-84F91CA13BF0}">
      <text>
        <t>[Kommenttiketju]
Excel-versiosi avulla voit lukea tämän kommenttiketjun, mutta siihen tehdyt muutokset poistetaan, jos tiedosto avataan uudemmassa Excel-versiossa. Lisätietoja: https://go.microsoft.com/fwlink/?linkid=870924
Kommentti:
    Täytä koneen vuosittainen arvonalenema. Mikäli et tiedä prosentuaalista lukua, voit käyttää laskennassa viitearvoa syöttämällä soluun luvun nolla.</t>
      </text>
    </comment>
    <comment ref="H9" authorId="3" shapeId="0" xr:uid="{661DC985-D27C-431F-8E99-80503008ACB2}">
      <text>
        <t>[Kommenttiketju]
Excel-versiosi avulla voit lukea tämän kommenttiketjun, mutta siihen tehdyt muutokset poistetaan, jos tiedosto avataan uudemmassa Excel-versiossa. Lisätietoja: https://go.microsoft.com/fwlink/?linkid=870924
Kommentti:
    Tässä sarakkeessa kustannukset ovat suhteutettu hakkuukoneen ja metsätraktorin yhteisiin käyttötunteihin</t>
      </text>
    </comment>
    <comment ref="B12" authorId="4" shapeId="0" xr:uid="{989A1C70-160E-42E1-9A02-91495E53A7F3}">
      <text>
        <t>[Kommenttiketju]
Excel-versiosi avulla voit lukea tämän kommenttiketjun, mutta siihen tehdyt muutokset poistetaan, jos tiedosto avataan uudemmassa Excel-versiossa. Lisätietoja: https://go.microsoft.com/fwlink/?linkid=870924
Kommentti:
    Lisää hakkuukoneen tuottavuudet eri hakkuutyömailla</t>
      </text>
    </comment>
    <comment ref="B15" authorId="5" shapeId="0" xr:uid="{3B098C76-F75E-4BFD-B1B9-AC32A0033BE1}">
      <text>
        <t>[Kommenttiketju]
Excel-versiosi avulla voit lukea tämän kommenttiketjun, mutta siihen tehdyt muutokset poistetaan, jos tiedosto avataan uudemmassa Excel-versiossa. Lisätietoja: https://go.microsoft.com/fwlink/?linkid=870924
Kommentti:
    Täytä hakkuukoneen käyttöaste. Käyttöaste tulee syöttää prosentteina ja sen tulee vastata siihen kysymykseen, että kuinka monta käyttötuntia saadaan yhdellä työtunnilla</t>
      </text>
    </comment>
    <comment ref="B18" authorId="6" shapeId="0" xr:uid="{7C50A6C7-D749-4CE8-B416-1CB863036859}">
      <text>
        <t>[Kommenttiketju]
Excel-versiosi avulla voit lukea tämän kommenttiketjun, mutta siihen tehdyt muutokset poistetaan, jos tiedosto avataan uudemmassa Excel-versiossa. Lisätietoja: https://go.microsoft.com/fwlink/?linkid=870924
Kommentti:
    Tämä johdetaan käyttöasteesta, vuosittaisesta hakkuumäärästä sekä käyttäjän syöttämistä tuottavuuksista.</t>
      </text>
    </comment>
    <comment ref="B19" authorId="7" shapeId="0" xr:uid="{60FFCC9C-A4D9-4F27-96CA-9D0856A726CB}">
      <text>
        <t>[Kommenttiketju]
Excel-versiosi avulla voit lukea tämän kommenttiketjun, mutta siihen tehdyt muutokset poistetaan, jos tiedosto avataan uudemmassa Excel-versiossa. Lisätietoja: https://go.microsoft.com/fwlink/?linkid=870924
Kommentti:
    Tämä on laskennallinen arvo ja johdetaan käyttötuntimäärästä sekä käyttöasteesta.</t>
      </text>
    </comment>
    <comment ref="H32" authorId="8" shapeId="0" xr:uid="{D931B7C2-D2E6-4B03-91B2-EEBBF8307069}">
      <text>
        <t>[Kommenttiketju]
Excel-versiosi avulla voit lukea tämän kommenttiketjun, mutta siihen tehdyt muutokset poistetaan, jos tiedosto avataan uudemmassa Excel-versiossa. Lisätietoja: https://go.microsoft.com/fwlink/?linkid=870924
Kommentti:
    Huomaa, että tällä välilehdellä Hakkuukoneen kokonaiskustannukset (€/v) ovat suhteutettu pelkästään hakkuukoneen laskennallisiin käyttötunteihin. (Solu G7)</t>
      </text>
    </comment>
    <comment ref="B38" authorId="9" shapeId="0" xr:uid="{548C8434-09F2-4342-9AA4-5FA7EF70FAC3}">
      <text>
        <t>[Kommenttiketju]
Excel-versiosi avulla voit lukea tämän kommenttiketjun, mutta siihen tehdyt muutokset poistetaan, jos tiedosto avataan uudemmassa Excel-versiossa. Lisätietoja: https://go.microsoft.com/fwlink/?linkid=870924
Kommentti:
    Syötä lukema, kuinka monelta kilometriltä maksat työntekijälle kilometrikorvausta vuodessa.</t>
      </text>
    </comment>
    <comment ref="B39" authorId="10" shapeId="0" xr:uid="{867068B5-B2C3-4AE5-B8EC-D971AA3B279D}">
      <text>
        <t xml:space="preserve">[Kommenttiketju]
Excel-versiosi avulla voit lukea tämän kommenttiketjun, mutta siihen tehdyt muutokset poistetaan, jos tiedosto avataan uudemmassa Excel-versiossa. Lisätietoja: https://go.microsoft.com/fwlink/?linkid=870924
Kommentti:
    Huom! Muista huomioida, jos koneella työskentelee kaksi henkilöä, niin ateriakorvaus maksettaneen molemmille kuljettajille eli 2 kpl/vrk
 </t>
      </text>
    </comment>
    <comment ref="B40" authorId="11" shapeId="0" xr:uid="{DD09164E-4538-4FBC-8BCF-93AFF690F9D8}">
      <text>
        <t>[Kommenttiketju]
Excel-versiosi avulla voit lukea tämän kommenttiketjun, mutta siihen tehdyt muutokset poistetaan, jos tiedosto avataan uudemmassa Excel-versiossa. Lisätietoja: https://go.microsoft.com/fwlink/?linkid=870924
Kommentti:
    Täytä arvio korotettujen ateriakorvauskertojen määrästä vuodessa.</t>
      </text>
    </comment>
    <comment ref="B41" authorId="12" shapeId="0" xr:uid="{131DEB47-3296-4696-9A88-39313F7A5EF5}">
      <text>
        <t>[Kommenttiketju]
Excel-versiosi avulla voit lukea tämän kommenttiketjun, mutta siihen tehdyt muutokset poistetaan, jos tiedosto avataan uudemmassa Excel-versiossa. Lisätietoja: https://go.microsoft.com/fwlink/?linkid=870924
Kommentti:
    Täytä arvio ylläpitokorvauksien määrästä vuodessa</t>
      </text>
    </comment>
    <comment ref="B44" authorId="13" shapeId="0" xr:uid="{50AA728F-70DA-4525-8828-B3A21653B44E}">
      <text>
        <t>[Kommenttiketju]
Excel-versiosi avulla voit lukea tämän kommenttiketjun, mutta siihen tehdyt muutokset poistetaan, jos tiedosto avataan uudemmassa Excel-versiossa. Lisätietoja: https://go.microsoft.com/fwlink/?linkid=870924
Kommentti:
    Täytä koneen polttoaineenkulutus käyttötuntia kohti</t>
      </text>
    </comment>
    <comment ref="B45" authorId="14" shapeId="0" xr:uid="{7CC9F78F-5B8D-4954-A8EE-8E1567BB73D7}">
      <text>
        <t>[Kommenttiketju]
Excel-versiosi avulla voit lukea tämän kommenttiketjun, mutta siihen tehdyt muutokset poistetaan, jos tiedosto avataan uudemmassa Excel-versiossa. Lisätietoja: https://go.microsoft.com/fwlink/?linkid=870924
Kommentti:
    Täytä koneen AdBluen kulutus käyttötuntia kohti</t>
      </text>
    </comment>
    <comment ref="B46" authorId="15" shapeId="0" xr:uid="{2829CC78-D6BA-44BF-A191-83CCC21FCB2B}">
      <text>
        <t>[Kommenttiketju]
Excel-versiosi avulla voit lukea tämän kommenttiketjun, mutta siihen tehdyt muutokset poistetaan, jos tiedosto avataan uudemmassa Excel-versiossa. Lisätietoja: https://go.microsoft.com/fwlink/?linkid=870924
Kommentti:
    Täytä koneen teräketjuöljyjen kulutus käyttötuntia kohti</t>
      </text>
    </comment>
    <comment ref="B47" authorId="16" shapeId="0" xr:uid="{479AED81-1E8C-4200-8A74-6D22D453B626}">
      <text>
        <t>[Kommenttiketju]
Excel-versiosi avulla voit lukea tämän kommenttiketjun, mutta siihen tehdyt muutokset poistetaan, jos tiedosto avataan uudemmassa Excel-versiossa. Lisätietoja: https://go.microsoft.com/fwlink/?linkid=870924
Kommentti:
    Täytä arvio siitä, kuinka monta tuntia yksi laippa kestää hakkuukoneessa, apulaskuri laskee arvon sille, kuinka monta laippaa kuluu vuosittain koneessa.</t>
      </text>
    </comment>
    <comment ref="B49" authorId="17" shapeId="0" xr:uid="{3B08A884-AC31-4176-AF4A-51F6BAB5D8E6}">
      <text>
        <t>[Kommenttiketju]
Excel-versiosi avulla voit lukea tämän kommenttiketjun, mutta siihen tehdyt muutokset poistetaan, jos tiedosto avataan uudemmassa Excel-versiossa. Lisätietoja: https://go.microsoft.com/fwlink/?linkid=870924
Kommentti:
    Täytä arvio siitä, kuinka monta tuntia yksi teräketju kestää hakkuukoneessa, apulaskuri laskee arvon sille, kuinka monta teräketjua kuluu vuosittain koneessa.</t>
      </text>
    </comment>
    <comment ref="B51" authorId="18" shapeId="0" xr:uid="{A3AD1D6F-7031-4234-9EE5-1854DF7B148C}">
      <text>
        <t>[Kommenttiketju]
Excel-versiosi avulla voit lukea tämän kommenttiketjun, mutta siihen tehdyt muutokset poistetaan, jos tiedosto avataan uudemmassa Excel-versiossa. Lisätietoja: https://go.microsoft.com/fwlink/?linkid=870924
Kommentti:
    Täytä koneen kantokäsittelyaineen kulutus käyttötuntia kohti</t>
      </text>
    </comment>
    <comment ref="B54" authorId="19" shapeId="0" xr:uid="{607F9F87-AC60-4D86-A486-8A11474A27B0}">
      <text>
        <t>[Kommenttiketju]
Excel-versiosi avulla voit lukea tämän kommenttiketjun, mutta siihen tehdyt muutokset poistetaan, jos tiedosto avataan uudemmassa Excel-versiossa. Lisätietoja: https://go.microsoft.com/fwlink/?linkid=870924
Kommentti:
    Täytä arvio vuosittaisesta ja konekohtaisesta huolto ja korjauskustannuksista</t>
      </text>
    </comment>
    <comment ref="B57" authorId="20" shapeId="0" xr:uid="{72356CD8-5508-4D70-B3AD-16BF2D876E70}">
      <text>
        <t>[Kommenttiketju]
Excel-versiosi avulla voit lukea tämän kommenttiketjun, mutta siihen tehdyt muutokset poistetaan, jos tiedosto avataan uudemmassa Excel-versiossa. Lisätietoja: https://go.microsoft.com/fwlink/?linkid=870924
Kommentti:
    Täytä muut vuosittaiset kustannukset vuositasolla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tc={D3CAFA4A-D1BA-4489-9922-72DFE99CB287}</author>
    <author>tc={1D5998FC-BFA2-4B3B-BC3A-7E07C3B0139D}</author>
    <author>tc={AACC7FC3-FCA0-4E85-9F50-F4F691A5F17A}</author>
    <author>tc={CB0C4364-B2B2-4433-8EC5-2E78ECD9F886}</author>
    <author>tc={5AFF25EE-BFEC-4E30-B8AD-D217D655AD0F}</author>
    <author>tc={C534E59E-E100-4C50-8F94-11F01AC752F8}</author>
    <author>tc={F432D2F8-64E8-4268-82C6-CDD9D37EE119}</author>
    <author>tc={137CFB66-808D-4259-ADC4-2FD14D95CA41}</author>
    <author>tc={67CF82FE-BC44-45EF-82D3-3F2C5F246EED}</author>
    <author>tc={88D97A3A-D5B9-4A22-BC04-909CE990EFB3}</author>
    <author>tc={04DB5AB5-78D5-4169-8646-364EB4FFC34E}</author>
    <author>tc={02D9F27D-3481-423E-8FD9-38F0896A9195}</author>
    <author>tc={C027CBFE-9F5C-428A-AEF7-7627720FF6DC}</author>
    <author>tc={41E15B78-0C25-496C-B541-FB21FA541060}</author>
    <author>tc={A0DC4068-EAAA-424F-BAFB-D9D6758D2EC3}</author>
  </authors>
  <commentList>
    <comment ref="B6" authorId="0" shapeId="0" xr:uid="{D3CAFA4A-D1BA-4489-9922-72DFE99CB287}">
      <text>
        <t>[Kommenttiketju]
Excel-versiosi avulla voit lukea tämän kommenttiketjun, mutta siihen tehdyt muutokset poistetaan, jos tiedosto avataan uudemmassa Excel-versiossa. Lisätietoja: https://go.microsoft.com/fwlink/?linkid=870924
Kommentti:
    Täytä kuormatraktorin hankintahinta</t>
      </text>
    </comment>
    <comment ref="B7" authorId="1" shapeId="0" xr:uid="{1D5998FC-BFA2-4B3B-BC3A-7E07C3B0139D}">
      <text>
        <t>[Kommenttiketju]
Excel-versiosi avulla voit lukea tämän kommenttiketjun, mutta siihen tehdyt muutokset poistetaan, jos tiedosto avataan uudemmassa Excel-versiossa. Lisätietoja: https://go.microsoft.com/fwlink/?linkid=870924
Kommentti:
    Täytä kuormatraktorin pitoaika</t>
      </text>
    </comment>
    <comment ref="B8" authorId="2" shapeId="0" xr:uid="{AACC7FC3-FCA0-4E85-9F50-F4F691A5F17A}">
      <text>
        <t>[Kommenttiketju]
Excel-versiosi avulla voit lukea tämän kommenttiketjun, mutta siihen tehdyt muutokset poistetaan, jos tiedosto avataan uudemmassa Excel-versiossa. Lisätietoja: https://go.microsoft.com/fwlink/?linkid=870924
Kommentti:
    Täytä kuormatraktorin vuosittainen arvonalenema laskuriin</t>
      </text>
    </comment>
    <comment ref="H9" authorId="3" shapeId="0" xr:uid="{CB0C4364-B2B2-4433-8EC5-2E78ECD9F886}">
      <text>
        <t>[Kommenttiketju]
Excel-versiosi avulla voit lukea tämän kommenttiketjun, mutta siihen tehdyt muutokset poistetaan, jos tiedosto avataan uudemmassa Excel-versiossa. Lisätietoja: https://go.microsoft.com/fwlink/?linkid=870924
Kommentti:
    Tässä sarakkeessa kustannukset ovat suhteutettu hakkuukoneen ja metsätraktorin yhteisiin käyttötunteihin</t>
      </text>
    </comment>
    <comment ref="B12" authorId="4" shapeId="0" xr:uid="{5AFF25EE-BFEC-4E30-B8AD-D217D655AD0F}">
      <text>
        <t>[Kommenttiketju]
Excel-versiosi avulla voit lukea tämän kommenttiketjun, mutta siihen tehdyt muutokset poistetaan, jos tiedosto avataan uudemmassa Excel-versiossa. Lisätietoja: https://go.microsoft.com/fwlink/?linkid=870924
Kommentti:
    Lisää kuormatraktorin tuottavuudet eri hakkuutyömailla</t>
      </text>
    </comment>
    <comment ref="B15" authorId="5" shapeId="0" xr:uid="{C534E59E-E100-4C50-8F94-11F01AC752F8}">
      <text>
        <t>[Kommenttiketju]
Excel-versiosi avulla voit lukea tämän kommenttiketjun, mutta siihen tehdyt muutokset poistetaan, jos tiedosto avataan uudemmassa Excel-versiossa. Lisätietoja: https://go.microsoft.com/fwlink/?linkid=870924
Kommentti:
    Täytä kuormatraktorin käyttöaste. Käyttöaste tulee syöttää prosentteina ja sen tulee vastata siihen kysymykseen, että kuinka monta käyttötuntia saadaan yhdellä työtunnilla</t>
      </text>
    </comment>
    <comment ref="H30" authorId="6" shapeId="0" xr:uid="{F432D2F8-64E8-4268-82C6-CDD9D37EE119}">
      <text>
        <t>[Kommenttiketju]
Excel-versiosi avulla voit lukea tämän kommenttiketjun, mutta siihen tehdyt muutokset poistetaan, jos tiedosto avataan uudemmassa Excel-versiossa. Lisätietoja: https://go.microsoft.com/fwlink/?linkid=870924
Kommentti:
    Huomaa, että tällä välilehdellä Kuormatraktorin kokonaiskustannukset €/v ovat suhteutettu pelkästään kuormatraktorin laskennallisiin käyttötunteihin. (Solu G7)</t>
      </text>
    </comment>
    <comment ref="B38" authorId="7" shapeId="0" xr:uid="{137CFB66-808D-4259-ADC4-2FD14D95CA41}">
      <text>
        <t>[Kommenttiketju]
Excel-versiosi avulla voit lukea tämän kommenttiketjun, mutta siihen tehdyt muutokset poistetaan, jos tiedosto avataan uudemmassa Excel-versiossa. Lisätietoja: https://go.microsoft.com/fwlink/?linkid=870924
Kommentti:
    Syötä lukema, kuinka monelta kilometriltä maksat työntekijälle kilometrikorvausta vuodessa.</t>
      </text>
    </comment>
    <comment ref="B39" authorId="8" shapeId="0" xr:uid="{67CF82FE-BC44-45EF-82D3-3F2C5F246EED}">
      <text>
        <t>[Kommenttiketju]
Excel-versiosi avulla voit lukea tämän kommenttiketjun, mutta siihen tehdyt muutokset poistetaan, jos tiedosto avataan uudemmassa Excel-versiossa. Lisätietoja: https://go.microsoft.com/fwlink/?linkid=870924
Kommentti:
    Huom! Muista huomioida, jos koneella työskentelee kaksi henkilöä, niin ateriakorvaus maksettaneen molemmille kuljettajille eli 2 kpl/vrk</t>
      </text>
    </comment>
    <comment ref="B40" authorId="9" shapeId="0" xr:uid="{88D97A3A-D5B9-4A22-BC04-909CE990EFB3}">
      <text>
        <t>[Kommenttiketju]
Excel-versiosi avulla voit lukea tämän kommenttiketjun, mutta siihen tehdyt muutokset poistetaan, jos tiedosto avataan uudemmassa Excel-versiossa. Lisätietoja: https://go.microsoft.com/fwlink/?linkid=870924
Kommentti:
    Täytä arvio korotettujen ateriakorvauskertojen määrästä vuodessa.</t>
      </text>
    </comment>
    <comment ref="B41" authorId="10" shapeId="0" xr:uid="{04DB5AB5-78D5-4169-8646-364EB4FFC34E}">
      <text>
        <t>[Kommenttiketju]
Excel-versiosi avulla voit lukea tämän kommenttiketjun, mutta siihen tehdyt muutokset poistetaan, jos tiedosto avataan uudemmassa Excel-versiossa. Lisätietoja: https://go.microsoft.com/fwlink/?linkid=870924
Kommentti:
    Täytä arvio ylläpitokorvauksien määrästä vuodessa</t>
      </text>
    </comment>
    <comment ref="B44" authorId="11" shapeId="0" xr:uid="{02D9F27D-3481-423E-8FD9-38F0896A9195}">
      <text>
        <t>[Kommenttiketju]
Excel-versiosi avulla voit lukea tämän kommenttiketjun, mutta siihen tehdyt muutokset poistetaan, jos tiedosto avataan uudemmassa Excel-versiossa. Lisätietoja: https://go.microsoft.com/fwlink/?linkid=870924
Kommentti:
    Täytä koneen polttoaineenkulutus käyttötuntia kohti</t>
      </text>
    </comment>
    <comment ref="B45" authorId="12" shapeId="0" xr:uid="{C027CBFE-9F5C-428A-AEF7-7627720FF6DC}">
      <text>
        <t>[Kommenttiketju]
Excel-versiosi avulla voit lukea tämän kommenttiketjun, mutta siihen tehdyt muutokset poistetaan, jos tiedosto avataan uudemmassa Excel-versiossa. Lisätietoja: https://go.microsoft.com/fwlink/?linkid=870924
Kommentti:
    Täytä koneen AdBluen kulutus käyttötuntia kohti</t>
      </text>
    </comment>
    <comment ref="B48" authorId="13" shapeId="0" xr:uid="{41E15B78-0C25-496C-B541-FB21FA541060}">
      <text>
        <t>[Kommenttiketju]
Excel-versiosi avulla voit lukea tämän kommenttiketjun, mutta siihen tehdyt muutokset poistetaan, jos tiedosto avataan uudemmassa Excel-versiossa. Lisätietoja: https://go.microsoft.com/fwlink/?linkid=870924
Kommentti:
    Täytä arvio vuosittaisesta ja konekohtaisesta huolto- ja korjauskustannuksista</t>
      </text>
    </comment>
    <comment ref="B51" authorId="14" shapeId="0" xr:uid="{A0DC4068-EAAA-424F-BAFB-D9D6758D2EC3}">
      <text>
        <t>[Kommenttiketju]
Excel-versiosi avulla voit lukea tämän kommenttiketjun, mutta siihen tehdyt muutokset poistetaan, jos tiedosto avataan uudemmassa Excel-versiossa. Lisätietoja: https://go.microsoft.com/fwlink/?linkid=870924
Kommentti:
    Täytä muut vuosittaiset kustannukset vuositasolla</t>
      </text>
    </comment>
  </commentList>
</comments>
</file>

<file path=xl/sharedStrings.xml><?xml version="1.0" encoding="utf-8"?>
<sst xmlns="http://schemas.openxmlformats.org/spreadsheetml/2006/main" count="365" uniqueCount="169">
  <si>
    <t>Yleisiä ohjeita</t>
  </si>
  <si>
    <t>Täytä vain keltaisella värillä merkityt solut</t>
  </si>
  <si>
    <t>Pääomakustannukset</t>
  </si>
  <si>
    <t>Täytä</t>
  </si>
  <si>
    <t>Viitearvo</t>
  </si>
  <si>
    <t>Vuotuinen korjuumäärä yhteensä (m3)</t>
  </si>
  <si>
    <t>m3/v</t>
  </si>
  <si>
    <t>Oman pääoman korko (%)</t>
  </si>
  <si>
    <t>Vuotuinen työaika yhteensä (käyttötuntia)</t>
  </si>
  <si>
    <t>G15/v</t>
  </si>
  <si>
    <t>Vieraan pääoman korko (%)</t>
  </si>
  <si>
    <t>KIINTEÄT KÄYTTÖKUSTANNUKSET (alv 0%)</t>
  </si>
  <si>
    <t>€/v</t>
  </si>
  <si>
    <t>€/G15</t>
  </si>
  <si>
    <t>€/m3</t>
  </si>
  <si>
    <t>% osuus</t>
  </si>
  <si>
    <t>Korkokustannukset</t>
  </si>
  <si>
    <t>Työvoimakustannukset</t>
  </si>
  <si>
    <t>Vakuutukset</t>
  </si>
  <si>
    <t>Uudistushakkuut (m3/ketju/v)</t>
  </si>
  <si>
    <t>Hallinto- ja työnjohtokustannukset</t>
  </si>
  <si>
    <t>Puunkorjuumäärä yhteensä (m3/ketju/v)</t>
  </si>
  <si>
    <t>Muut kiinteät kustannukset</t>
  </si>
  <si>
    <t>Työmaan keskikoko (m3)</t>
  </si>
  <si>
    <t>YHTEENSÄ</t>
  </si>
  <si>
    <t>Työmaiden määrä (kpl)</t>
  </si>
  <si>
    <t>MUUTTUVAT KÄYTTÖKUSTANNUKSET (alv 0 %)</t>
  </si>
  <si>
    <t>Polttoainekustannukset</t>
  </si>
  <si>
    <t>Yksikkökustannukset</t>
  </si>
  <si>
    <t>Laipat, teräketjut ja -ketjuöljyt</t>
  </si>
  <si>
    <t>Siirtokustannukset</t>
  </si>
  <si>
    <t>Muut muuttuvat kustannukset</t>
  </si>
  <si>
    <t xml:space="preserve">Huom. Täytä kilometrikorvauksen hinta malliin ainoastaan, jos maksat työntekijälle kulukorvausta oman ajoneuvon käytöstä. </t>
  </si>
  <si>
    <t>Maksettavat kulukorvaukset</t>
  </si>
  <si>
    <t>Palkkakulut</t>
  </si>
  <si>
    <t>Pakolliset sivukustannusten prosentti (%)</t>
  </si>
  <si>
    <t>Lavetilla ajetut kilometrit (km/korjuuketju/v)</t>
  </si>
  <si>
    <t>Siirtokustannus (€/korjuuketju/v)</t>
  </si>
  <si>
    <t>Markkinointi ja myyntikust. (€/korjuuketju/v)</t>
  </si>
  <si>
    <t>Kiinteistöt (€/korjuuketju/v)</t>
  </si>
  <si>
    <t>Ajoneuvot (€/korjuuketju/v)</t>
  </si>
  <si>
    <t>Muut kulut (€/korjuuketju/v)</t>
  </si>
  <si>
    <t>Hakkuu</t>
  </si>
  <si>
    <t>Metsäkuljetus</t>
  </si>
  <si>
    <t>Yhteensä</t>
  </si>
  <si>
    <t>Ensiharvennus (m3/käyttötunti)</t>
  </si>
  <si>
    <t>Myöhemmät harvennukset (m3/käyttötunti)</t>
  </si>
  <si>
    <t>Päätehakkuut (m3/käyttötunti)</t>
  </si>
  <si>
    <t>Hankintahinta</t>
  </si>
  <si>
    <t>HAKKUUKONEEN KONEKUSTANNUSLASKELMA</t>
  </si>
  <si>
    <t>Hakkuukoneen hankintahinta (€)</t>
  </si>
  <si>
    <t>Hakkuukoneen pitoaika (v)</t>
  </si>
  <si>
    <t>Hakkuukoneen vaihtoarvon lasku vuodessa (%)</t>
  </si>
  <si>
    <t>Hakkuukoneen vaihtoarvo (€)</t>
  </si>
  <si>
    <t>Tuottavuus</t>
  </si>
  <si>
    <t>Käyttöaste (%)</t>
  </si>
  <si>
    <t>Työmäärä</t>
  </si>
  <si>
    <t>Vuotuinen tarvittava käyttötuntimäärä (h)</t>
  </si>
  <si>
    <t>Vuotuinen tarvittava työaika (h)</t>
  </si>
  <si>
    <t>Kantokäsittelyaine</t>
  </si>
  <si>
    <t xml:space="preserve">Huom. Täytä kilometrikorvattujen ajojen määrä malliin ainoastaan, jos maksat työntekijälle kulukorvausta oman ajoneuvon käytöstä. </t>
  </si>
  <si>
    <t xml:space="preserve">Kulukorvauksien määrä </t>
  </si>
  <si>
    <t>Kilometrikorvauksen alaiset kilometrit (km)</t>
  </si>
  <si>
    <t>Ateriakorvauskertojen määrä (kpl)</t>
  </si>
  <si>
    <t>Korotettujen ateriakorvauskertojen määrä (kpl)</t>
  </si>
  <si>
    <t>Ylläpitokorvauksien määrä (kpl)</t>
  </si>
  <si>
    <t>Käyttö</t>
  </si>
  <si>
    <t>Polttoaineen kulutus (L/käyttötunti)</t>
  </si>
  <si>
    <t>Teräketjuöljy (L/käyttötunti)</t>
  </si>
  <si>
    <t>Ylläpito</t>
  </si>
  <si>
    <t xml:space="preserve">Muut </t>
  </si>
  <si>
    <t>KUORMATRAKTORIN KONEKUSTANNUSLASKELMA</t>
  </si>
  <si>
    <t>Kuormatraktorin hankintahinta (€)</t>
  </si>
  <si>
    <t>Kuormaraktorin pitoaika (v)</t>
  </si>
  <si>
    <t>Kuormatraktorin vaihtoarvo (€)</t>
  </si>
  <si>
    <t>Harvennushakkuut (m3/käyttötunti)</t>
  </si>
  <si>
    <t>Korotettujen ateriakorvaukertojen määrä (kpl)</t>
  </si>
  <si>
    <t>Tällä välilehdellä voit tehdä herkkyysanalyysiä korjuuketjusi kuluihin. Voit tehdä prosenttimuutoksia keltaisella värillä maalattuihin soluihin, ja tarkastella miten ne muuttavat kulurakennettasi</t>
  </si>
  <si>
    <t>Arvot muutoksen jälkeen</t>
  </si>
  <si>
    <t xml:space="preserve">m3/v </t>
  </si>
  <si>
    <t xml:space="preserve">G15/v </t>
  </si>
  <si>
    <t>Arvo nousee / laskee %</t>
  </si>
  <si>
    <t xml:space="preserve">€/G15 </t>
  </si>
  <si>
    <t>KESKIARVO</t>
  </si>
  <si>
    <t>Laippojen kesto tunneissa (h)</t>
  </si>
  <si>
    <t>Laippojen kulutus (kpl/v)</t>
  </si>
  <si>
    <t>Teräketjujen kulutus (kpl/v)</t>
  </si>
  <si>
    <t>Vuosittaiset poistot</t>
  </si>
  <si>
    <t>Poistot</t>
  </si>
  <si>
    <t>HAKKUUKONE</t>
  </si>
  <si>
    <t>KUORMATRAKTORI</t>
  </si>
  <si>
    <t>MUUTTUVAT KÄYTTÖKUSTANNUKSET (Alv 0 %)</t>
  </si>
  <si>
    <t>% -osuus</t>
  </si>
  <si>
    <t>Hakkuukoneen työaika yhteensä (käyttötuntia)</t>
  </si>
  <si>
    <t>Kuormatraktorin työaika yhteensä (käyttötuntia)</t>
  </si>
  <si>
    <t>Työvoimakustannukset ketjutasolla</t>
  </si>
  <si>
    <t>Käytettävä arvo</t>
  </si>
  <si>
    <t>Muutos lukuina</t>
  </si>
  <si>
    <t>Nosta tai laske arvoa prosenteissa (%)</t>
  </si>
  <si>
    <t>Ensiharvennukset (m3/ketju/v)</t>
  </si>
  <si>
    <t>Myöhemmät harvennukset (m3/ketju/v)</t>
  </si>
  <si>
    <t>KIINTEÄT KUSTANNUKSET YHTEENSÄ</t>
  </si>
  <si>
    <t>MUUTTUVAT KUSTANNUKSET YHTEENSÄ</t>
  </si>
  <si>
    <t>KAIKKI KUSTANNUKSET YHTEENSÄ</t>
  </si>
  <si>
    <t>Yksikkökustannustaulukko</t>
  </si>
  <si>
    <t xml:space="preserve">Huom! Mikäli haluat tehdä laskelman pelkästään kuormatraktorin kustannuksista, jätä tämän välilehden keltaisessa sarakkeessa kysytyt arvot tyhjäksi. Varmista, ettei keltaisella värjätyissä soluissa ole siis esimerkiksi nollia. </t>
  </si>
  <si>
    <t>Huom. Jos haluat, että laskentamalli käyttää viitearvoa, syötä keltaisella värillä maalattuun soluun nolla.</t>
  </si>
  <si>
    <t xml:space="preserve">Huom! Mikäli haluat tehdä laskelman pelkästään hakkuukoneen kustannuksista, jätä tämän välilehden keltaisessa sarakkeessa kysytyt arvot tyhjäksi. Varmista, ettei keltaisella värjätyissä soluissa ole siis esimerkiksi nollia. </t>
  </si>
  <si>
    <t>I Korjuuketju-välilehti</t>
  </si>
  <si>
    <t>II Hakkuukone-välilehti</t>
  </si>
  <si>
    <t>III Kuormatraktori-välilehti</t>
  </si>
  <si>
    <t>IV Herkkyysanalyysi-välilehti</t>
  </si>
  <si>
    <t>Täytä vain keltaisella värillä merkityt solut. Yksikkökustannuksia täyttäessä käytä Alv 0 % -hintoja.</t>
  </si>
  <si>
    <t>Oma pääoma (€)</t>
  </si>
  <si>
    <t>Vieras pääoma (€)</t>
  </si>
  <si>
    <t>Korjuumäärät</t>
  </si>
  <si>
    <t>Polttoaine (€/L)</t>
  </si>
  <si>
    <t>Laipat (€/kpl)</t>
  </si>
  <si>
    <t>Teräketjut (€/kpl)</t>
  </si>
  <si>
    <t>Teräketjuöljy (€/L)</t>
  </si>
  <si>
    <t>Kannonkäsittelyaine (€/L)</t>
  </si>
  <si>
    <t>AdBlue (€/L)</t>
  </si>
  <si>
    <t>Kilometrikorvaus (€/km)</t>
  </si>
  <si>
    <t>Ateriakorvaus (€/kpl)</t>
  </si>
  <si>
    <t>Korotettu aterikorvaus (€/kpl)</t>
  </si>
  <si>
    <t>Ylläpitokorvaus (€/kpl)</t>
  </si>
  <si>
    <t>Hakkuukoneenkuljettajan palkka (€/h)</t>
  </si>
  <si>
    <t>Kuormatraktorikuljettajan palkka (€/h)</t>
  </si>
  <si>
    <t>Siirtokustannus (€/km)</t>
  </si>
  <si>
    <t>Vapaaehtoiset sivukustannukset (€/korjuuketju/v)</t>
  </si>
  <si>
    <t>Vakuutukset (€/korjuuketju/v)</t>
  </si>
  <si>
    <t>Hallinto ja työnjohto (€/korjuuketju/v)</t>
  </si>
  <si>
    <t>Tarvikkeet ja työkalut (€/korjuuketju/v)</t>
  </si>
  <si>
    <t>IT-kulut (€/korjuuketju/v)</t>
  </si>
  <si>
    <t>AdBlue-kustannukset</t>
  </si>
  <si>
    <t>Huolto- ja korjauskustannukset</t>
  </si>
  <si>
    <t>AdBlue-kulutus (L/käyttötunti)</t>
  </si>
  <si>
    <t>Teräketjun kesto tunneissa (h)</t>
  </si>
  <si>
    <t>Muut muuttuvat kustannukset (€/v)</t>
  </si>
  <si>
    <t>Huolto- ja korjauskustannukset (€/v)</t>
  </si>
  <si>
    <t>Kantokäsittelyaineen kulutus (L/käyttötunti)</t>
  </si>
  <si>
    <t>Huolto- ja korjuukustannukset</t>
  </si>
  <si>
    <t>Kuormatraktorin vaihtoarvon lasku vuodessa (%)</t>
  </si>
  <si>
    <t>Muulloin jyvitä puunkorjuuyrityksen ajoneuvokustannukset korjuuketju-välilehden riville 'Ajoneuvot (€/korjuuketju/v)'</t>
  </si>
  <si>
    <t>Muulloin jyvitä puunkorjuuyrityksen ajoneuvokustannukset riville 'Ajoneuvot €/korjuuketju/v).</t>
  </si>
  <si>
    <t>Kantokäsittelykustannukset</t>
  </si>
  <si>
    <t xml:space="preserve">€/v </t>
  </si>
  <si>
    <t xml:space="preserve">€/m3 </t>
  </si>
  <si>
    <t>Koneen tuntikustannus, ensiharvennus (e/h)</t>
  </si>
  <si>
    <t>Koneen tuntikustannus, muu harvennus (e/h)</t>
  </si>
  <si>
    <t>Koneen tuntikustannus, uudistushakkuu (e/h)</t>
  </si>
  <si>
    <t>Ensiharvennus (€/m3)</t>
  </si>
  <si>
    <t>Myöhemmät harvennukset (€/m3)</t>
  </si>
  <si>
    <t>Päätehakkuut (€/m3)</t>
  </si>
  <si>
    <t>Voit laskea yksikkökustannustaulukon avulla hakkuulajikohtaisesti arvioidut kustannukset, sen jälkeen kun olet laskenut konekustannuslaskelman koko korjuuketjulle tai yksittäiselle koneelle</t>
  </si>
  <si>
    <t>Lasketut yksikkökustannukset hakkuulajeittain</t>
  </si>
  <si>
    <t>PUUNKORJUUKETJUN TAI YHDEN KONEEN KONEKUSTANNUSLASKELMA</t>
  </si>
  <si>
    <t>YRITYKSEN KIINTEÄT KUSTANNUKSET (alv 0 %)</t>
  </si>
  <si>
    <t>HAKKUUKONEEN KIINTEÄT KÄYTTÖKUSTANNUKSET (alv 0%)</t>
  </si>
  <si>
    <t>HAKKUUKONEEN MUUTTUVAT KÄYTTÖKUSTANNUKSET (alv 0 %)</t>
  </si>
  <si>
    <t>YRITYKSEN KIINTEÄT KUSTANNUKSET (Alv 0 %)</t>
  </si>
  <si>
    <t>KUORMATRAKTORIN KIINTEÄT KÄYTTÖKUSTANNUKSET (alv 0%)</t>
  </si>
  <si>
    <t>KUORMATRAKTORIN MUUTTUVAT KÄYTTÖKUSTANNUKSET (alv 0 %)</t>
  </si>
  <si>
    <r>
      <t xml:space="preserve">• </t>
    </r>
    <r>
      <rPr>
        <b/>
        <sz val="12"/>
        <color theme="1"/>
        <rFont val="Calibri"/>
        <family val="2"/>
        <scheme val="minor"/>
      </rPr>
      <t>Konekustannusmallia</t>
    </r>
    <r>
      <rPr>
        <sz val="12"/>
        <color theme="1"/>
        <rFont val="Calibri"/>
        <family val="2"/>
        <scheme val="minor"/>
      </rPr>
      <t xml:space="preserve"> käyttäessäsi täytä arvoja ainoastaan kohtiin, jotka ovat maalattu keltaisella värillä. 
• </t>
    </r>
    <r>
      <rPr>
        <b/>
        <sz val="12"/>
        <color theme="1"/>
        <rFont val="Calibri"/>
        <family val="2"/>
        <scheme val="minor"/>
      </rPr>
      <t>Käytä</t>
    </r>
    <r>
      <rPr>
        <sz val="12"/>
        <color theme="1"/>
        <rFont val="Calibri"/>
        <family val="2"/>
        <scheme val="minor"/>
      </rPr>
      <t xml:space="preserve"> laskelmassa aina verottomia hintoja (Alv 0 % -hintoja).
• </t>
    </r>
    <r>
      <rPr>
        <b/>
        <sz val="12"/>
        <color theme="1"/>
        <rFont val="Calibri"/>
        <family val="2"/>
        <scheme val="minor"/>
      </rPr>
      <t>Mikäli</t>
    </r>
    <r>
      <rPr>
        <sz val="12"/>
        <color theme="1"/>
        <rFont val="Calibri"/>
        <family val="2"/>
        <scheme val="minor"/>
      </rPr>
      <t xml:space="preserve"> et täytä omia arvoja konekustannusmallin soluihin ja jätät keltaisella maalatun solun nollaksi, malli käyttää jokaiseen kustannuserän kohdalla asetettua viitearvoa. 
• </t>
    </r>
    <r>
      <rPr>
        <b/>
        <sz val="12"/>
        <color theme="1"/>
        <rFont val="Calibri"/>
        <family val="2"/>
        <scheme val="minor"/>
      </rPr>
      <t>Älä</t>
    </r>
    <r>
      <rPr>
        <sz val="12"/>
        <color theme="1"/>
        <rFont val="Calibri"/>
        <family val="2"/>
        <scheme val="minor"/>
      </rPr>
      <t xml:space="preserve"> tee mallissa muutoksia soluihin, jotka ovat maalattu valkoisella tai harmaalla värillä!
• </t>
    </r>
    <r>
      <rPr>
        <b/>
        <sz val="12"/>
        <color theme="1"/>
        <rFont val="Calibri"/>
        <family val="2"/>
        <scheme val="minor"/>
      </rPr>
      <t>Konekustannusmallia</t>
    </r>
    <r>
      <rPr>
        <sz val="12"/>
        <color theme="1"/>
        <rFont val="Calibri"/>
        <family val="2"/>
        <scheme val="minor"/>
      </rPr>
      <t xml:space="preserve"> voi käyttää yksittäisen koneen sekä useampien koneiden kustannusten laskennan apuna.
• </t>
    </r>
    <r>
      <rPr>
        <b/>
        <sz val="12"/>
        <color theme="1"/>
        <rFont val="Calibri"/>
        <family val="2"/>
        <scheme val="minor"/>
      </rPr>
      <t>Mikäli</t>
    </r>
    <r>
      <rPr>
        <sz val="12"/>
        <color theme="1"/>
        <rFont val="Calibri"/>
        <family val="2"/>
        <scheme val="minor"/>
      </rPr>
      <t xml:space="preserve"> haluat tehdä laskelman esimerkiksi ainoastaan kuormatraktorille, älä täytä keltaisella merkittyjä soluja lainkaan. Varmista siis, että näissä soluissa ei ole mitään lukua!
• </t>
    </r>
    <r>
      <rPr>
        <b/>
        <sz val="12"/>
        <color theme="1"/>
        <rFont val="Calibri"/>
        <family val="2"/>
        <scheme val="minor"/>
      </rPr>
      <t>Mikäli</t>
    </r>
    <r>
      <rPr>
        <sz val="12"/>
        <color theme="1"/>
        <rFont val="Calibri"/>
        <family val="2"/>
        <scheme val="minor"/>
      </rPr>
      <t xml:space="preserve"> käytät laskentamallissa desimaalilukuja, käytä erottimena pilkkua (,).
• </t>
    </r>
    <r>
      <rPr>
        <b/>
        <sz val="12"/>
        <color theme="1"/>
        <rFont val="Calibri"/>
        <family val="2"/>
        <scheme val="minor"/>
      </rPr>
      <t>Pyri</t>
    </r>
    <r>
      <rPr>
        <sz val="12"/>
        <color theme="1"/>
        <rFont val="Calibri"/>
        <family val="2"/>
        <scheme val="minor"/>
      </rPr>
      <t xml:space="preserve"> käyttämään laskelmassa mahdollisimman todenmukaisia arvoja.</t>
    </r>
  </si>
  <si>
    <r>
      <t xml:space="preserve">• </t>
    </r>
    <r>
      <rPr>
        <b/>
        <sz val="12"/>
        <color theme="1"/>
        <rFont val="Calibri"/>
        <family val="2"/>
        <scheme val="minor"/>
      </rPr>
      <t>Aloita</t>
    </r>
    <r>
      <rPr>
        <sz val="12"/>
        <color theme="1"/>
        <rFont val="Calibri"/>
        <family val="2"/>
        <scheme val="minor"/>
      </rPr>
      <t xml:space="preserve"> mallin täyttäminen tältä välilehdeltä.
• </t>
    </r>
    <r>
      <rPr>
        <b/>
        <sz val="12"/>
        <color theme="1"/>
        <rFont val="Calibri"/>
        <family val="2"/>
        <scheme val="minor"/>
      </rPr>
      <t>Täytä</t>
    </r>
    <r>
      <rPr>
        <sz val="12"/>
        <color theme="1"/>
        <rFont val="Calibri"/>
        <family val="2"/>
        <scheme val="minor"/>
      </rPr>
      <t xml:space="preserve"> ensimmäisessä osiossa puunkorjuuketjun pääomakustannukset, vuotuiset korjuumäärät sekä ketjun yksikkökustannukset.
• </t>
    </r>
    <r>
      <rPr>
        <b/>
        <sz val="12"/>
        <color theme="1"/>
        <rFont val="Calibri"/>
        <family val="2"/>
        <scheme val="minor"/>
      </rPr>
      <t>Täytä</t>
    </r>
    <r>
      <rPr>
        <sz val="12"/>
        <color theme="1"/>
        <rFont val="Calibri"/>
        <family val="2"/>
        <scheme val="minor"/>
      </rPr>
      <t xml:space="preserve"> toisessa osiossa maksettavat kulukorvaukset, palkkakulut sekä muut kiinteät kustannukset.
• </t>
    </r>
    <r>
      <rPr>
        <b/>
        <sz val="12"/>
        <color theme="1"/>
        <rFont val="Calibri"/>
        <family val="2"/>
        <scheme val="minor"/>
      </rPr>
      <t xml:space="preserve">Huom! </t>
    </r>
    <r>
      <rPr>
        <sz val="12"/>
        <color theme="1"/>
        <rFont val="Calibri"/>
        <family val="2"/>
        <scheme val="minor"/>
      </rPr>
      <t xml:space="preserve">Tässä osiossa täytä kilometrikorvauksen hinta malliin ainoastaan, jos maksat työntekijälle kulukorvausta oman ajoneuvon käytöstä. Muulloin jyvitä puunkorjuuyrityksen ajoneuvokustannukset riville </t>
    </r>
    <r>
      <rPr>
        <b/>
        <sz val="12"/>
        <color theme="1"/>
        <rFont val="Calibri"/>
        <family val="2"/>
        <scheme val="minor"/>
      </rPr>
      <t>'Ajoneuvot (€/korjuuketju/v)'</t>
    </r>
    <r>
      <rPr>
        <sz val="12"/>
        <color theme="1"/>
        <rFont val="Calibri"/>
        <family val="2"/>
        <scheme val="minor"/>
      </rPr>
      <t xml:space="preserve">.
• </t>
    </r>
    <r>
      <rPr>
        <b/>
        <sz val="12"/>
        <color theme="1"/>
        <rFont val="Calibri"/>
        <family val="2"/>
        <scheme val="minor"/>
      </rPr>
      <t>Välilehden</t>
    </r>
    <r>
      <rPr>
        <sz val="12"/>
        <color theme="1"/>
        <rFont val="Calibri"/>
        <family val="2"/>
        <scheme val="minor"/>
      </rPr>
      <t xml:space="preserve"> oikeassa laidassa sijaitseva 'Puunkorjuuketjun konekustannuslaskelma' tulostuu, kun syötät kustannukset 'Hakkuukone' ja 'Kuormatraktori' -välilehdille. 
• </t>
    </r>
    <r>
      <rPr>
        <b/>
        <sz val="12"/>
        <color theme="1"/>
        <rFont val="Calibri"/>
        <family val="2"/>
        <scheme val="minor"/>
      </rPr>
      <t>Seuraavaksi</t>
    </r>
    <r>
      <rPr>
        <sz val="12"/>
        <color theme="1"/>
        <rFont val="Calibri"/>
        <family val="2"/>
        <scheme val="minor"/>
      </rPr>
      <t xml:space="preserve"> siirry täyttämään 'Hakkuukone'-välilehteä.</t>
    </r>
  </si>
  <si>
    <r>
      <t xml:space="preserve">• </t>
    </r>
    <r>
      <rPr>
        <b/>
        <sz val="12"/>
        <color theme="1"/>
        <rFont val="Calibri"/>
        <family val="2"/>
        <scheme val="minor"/>
      </rPr>
      <t>Täytä</t>
    </r>
    <r>
      <rPr>
        <sz val="12"/>
        <color theme="1"/>
        <rFont val="Calibri"/>
        <family val="2"/>
        <scheme val="minor"/>
      </rPr>
      <t xml:space="preserve"> ensimmäisessä osiossa hakkuukoneen hankintahinta sekä hakkuukoneen tuottavuus -kohdat.
• </t>
    </r>
    <r>
      <rPr>
        <b/>
        <sz val="12"/>
        <color theme="1"/>
        <rFont val="Calibri"/>
        <family val="2"/>
        <scheme val="minor"/>
      </rPr>
      <t>Käyttöasteella</t>
    </r>
    <r>
      <rPr>
        <sz val="12"/>
        <color theme="1"/>
        <rFont val="Calibri"/>
        <family val="2"/>
        <scheme val="minor"/>
      </rPr>
      <t xml:space="preserve"> tarkoitetaan tässä yhteydessä käyttötuntien ja kokonaistyöajan suhdetta.
• </t>
    </r>
    <r>
      <rPr>
        <b/>
        <sz val="12"/>
        <color theme="1"/>
        <rFont val="Calibri"/>
        <family val="2"/>
        <scheme val="minor"/>
      </rPr>
      <t>Malli</t>
    </r>
    <r>
      <rPr>
        <sz val="12"/>
        <color theme="1"/>
        <rFont val="Calibri"/>
        <family val="2"/>
        <scheme val="minor"/>
      </rPr>
      <t xml:space="preserve"> laskee näiden sekä edellisen välilehden tietojen perusteella hakkuukoneen vuotuisen käyttötuntimäärän vuotuiselle puunkorjuumäärälle.
• </t>
    </r>
    <r>
      <rPr>
        <b/>
        <sz val="12"/>
        <color theme="1"/>
        <rFont val="Calibri"/>
        <family val="2"/>
        <scheme val="minor"/>
      </rPr>
      <t>Täytä</t>
    </r>
    <r>
      <rPr>
        <sz val="12"/>
        <color theme="1"/>
        <rFont val="Calibri"/>
        <family val="2"/>
        <scheme val="minor"/>
      </rPr>
      <t xml:space="preserve"> toisessa osiossa hakkuukoneen tasolle jyvitettävät kulu- ja käyttökorvaukset sekä ylläpito- ja muut kustannukset.
• </t>
    </r>
    <r>
      <rPr>
        <b/>
        <sz val="12"/>
        <color theme="1"/>
        <rFont val="Calibri"/>
        <family val="2"/>
        <scheme val="minor"/>
      </rPr>
      <t xml:space="preserve">Huom! </t>
    </r>
    <r>
      <rPr>
        <sz val="12"/>
        <color theme="1"/>
        <rFont val="Calibri"/>
        <family val="2"/>
        <scheme val="minor"/>
      </rPr>
      <t xml:space="preserve">Tässä osiossa täytä kilometrikorvauksen hinta malliin ainoastaan, jos maksat työntekijälle kulukorvausta oman ajoneuvon käytöstä. Muulloin jyvitä puunkorjuuyrityksen ajoneuvokustannukset riville 'Ajoneuvot (€/korjuuketju/v)'.
• </t>
    </r>
    <r>
      <rPr>
        <b/>
        <sz val="12"/>
        <color theme="1"/>
        <rFont val="Calibri"/>
        <family val="2"/>
        <scheme val="minor"/>
      </rPr>
      <t>Voit</t>
    </r>
    <r>
      <rPr>
        <sz val="12"/>
        <color theme="1"/>
        <rFont val="Calibri"/>
        <family val="2"/>
        <scheme val="minor"/>
      </rPr>
      <t xml:space="preserve"> nyt tarkastella näiden lukujen perusteella lasketun hakkuukoneen konekustannuslaskelman, joka löytyy välilehden oikeasta laidasta.
• </t>
    </r>
    <r>
      <rPr>
        <b/>
        <sz val="12"/>
        <color theme="1"/>
        <rFont val="Calibri"/>
        <family val="2"/>
        <scheme val="minor"/>
      </rPr>
      <t>Kustannukset</t>
    </r>
    <r>
      <rPr>
        <sz val="12"/>
        <color theme="1"/>
        <rFont val="Calibri"/>
        <family val="2"/>
        <scheme val="minor"/>
      </rPr>
      <t xml:space="preserve"> ilmoitetaan laskelmassa absoluuttisena </t>
    </r>
    <r>
      <rPr>
        <b/>
        <sz val="12"/>
        <color theme="1"/>
        <rFont val="Calibri"/>
        <family val="2"/>
        <scheme val="minor"/>
      </rPr>
      <t>'€/v'</t>
    </r>
    <r>
      <rPr>
        <sz val="12"/>
        <color theme="1"/>
        <rFont val="Calibri"/>
        <family val="2"/>
        <scheme val="minor"/>
      </rPr>
      <t xml:space="preserve"> sekä suhteellisina </t>
    </r>
    <r>
      <rPr>
        <b/>
        <sz val="12"/>
        <color theme="1"/>
        <rFont val="Calibri"/>
        <family val="2"/>
        <scheme val="minor"/>
      </rPr>
      <t>'% osuus'</t>
    </r>
    <r>
      <rPr>
        <sz val="12"/>
        <color theme="1"/>
        <rFont val="Calibri"/>
        <family val="2"/>
        <scheme val="minor"/>
      </rPr>
      <t xml:space="preserve"> lukuina. Kustannukset ilmoitetaan myös suhteutettuna käyttötuntia </t>
    </r>
    <r>
      <rPr>
        <b/>
        <sz val="12"/>
        <color theme="1"/>
        <rFont val="Calibri"/>
        <family val="2"/>
        <scheme val="minor"/>
      </rPr>
      <t>'€/G15'</t>
    </r>
    <r>
      <rPr>
        <sz val="12"/>
        <color theme="1"/>
        <rFont val="Calibri"/>
        <family val="2"/>
        <scheme val="minor"/>
      </rPr>
      <t xml:space="preserve"> sekä korjattua puukuutiometriä kohti </t>
    </r>
    <r>
      <rPr>
        <b/>
        <sz val="12"/>
        <color theme="1"/>
        <rFont val="Calibri"/>
        <family val="2"/>
        <scheme val="minor"/>
      </rPr>
      <t>'€/m3'</t>
    </r>
    <r>
      <rPr>
        <sz val="12"/>
        <color theme="1"/>
        <rFont val="Calibri"/>
        <family val="2"/>
        <scheme val="minor"/>
      </rPr>
      <t xml:space="preserve">. </t>
    </r>
  </si>
  <si>
    <r>
      <t xml:space="preserve">• </t>
    </r>
    <r>
      <rPr>
        <b/>
        <sz val="12"/>
        <color theme="1"/>
        <rFont val="Calibri"/>
        <family val="2"/>
        <scheme val="minor"/>
      </rPr>
      <t>Täytä</t>
    </r>
    <r>
      <rPr>
        <sz val="12"/>
        <color theme="1"/>
        <rFont val="Calibri"/>
        <family val="2"/>
        <scheme val="minor"/>
      </rPr>
      <t xml:space="preserve"> ensimmäisessä osiossa kuormatraktorin hankintahinta sekä kuormatraktorin tuottavuus -kohdat.
• </t>
    </r>
    <r>
      <rPr>
        <b/>
        <sz val="12"/>
        <color theme="1"/>
        <rFont val="Calibri"/>
        <family val="2"/>
        <scheme val="minor"/>
      </rPr>
      <t>Käyttöasteella</t>
    </r>
    <r>
      <rPr>
        <sz val="12"/>
        <color theme="1"/>
        <rFont val="Calibri"/>
        <family val="2"/>
        <scheme val="minor"/>
      </rPr>
      <t xml:space="preserve"> tarkoitetaan tässä yhteydessä käyttötuntien ja kokonaistyöajan suhdetta.
• </t>
    </r>
    <r>
      <rPr>
        <b/>
        <sz val="12"/>
        <color theme="1"/>
        <rFont val="Calibri"/>
        <family val="2"/>
        <scheme val="minor"/>
      </rPr>
      <t>Malli</t>
    </r>
    <r>
      <rPr>
        <sz val="12"/>
        <color theme="1"/>
        <rFont val="Calibri"/>
        <family val="2"/>
        <scheme val="minor"/>
      </rPr>
      <t xml:space="preserve"> laskee näiden sekä 'korjuuketju' -välilehden tietojen perusteella kuormatraktorin vuotuisen käyttötuntimäärän vuotuiselle puunkorjuumäärälle.
• </t>
    </r>
    <r>
      <rPr>
        <b/>
        <sz val="12"/>
        <color theme="1"/>
        <rFont val="Calibri"/>
        <family val="2"/>
        <scheme val="minor"/>
      </rPr>
      <t>Täytä</t>
    </r>
    <r>
      <rPr>
        <sz val="12"/>
        <color theme="1"/>
        <rFont val="Calibri"/>
        <family val="2"/>
        <scheme val="minor"/>
      </rPr>
      <t xml:space="preserve"> toisessa osiossa kuormatraktorin tasolle jyvitettävät kulu- ja käyttökorvaukset sekä ylläpito- ja muut kustannukset.
• </t>
    </r>
    <r>
      <rPr>
        <b/>
        <sz val="12"/>
        <color theme="1"/>
        <rFont val="Calibri"/>
        <family val="2"/>
        <scheme val="minor"/>
      </rPr>
      <t>Huom!</t>
    </r>
    <r>
      <rPr>
        <sz val="12"/>
        <color theme="1"/>
        <rFont val="Calibri"/>
        <family val="2"/>
        <scheme val="minor"/>
      </rPr>
      <t xml:space="preserve"> Tässä osiossa täytä kilometrikorvauksen hinta malliin ainoastaan, jos maksat työntekijälle kulukorvausta oman ajoneuvon käytöstä. Muulloin jyvitä puunkorjuuyrityksen ajoneuvokustannukset riville 'Ajoneuvot (€/korjuuketju/v)'.
• </t>
    </r>
    <r>
      <rPr>
        <b/>
        <sz val="12"/>
        <color theme="1"/>
        <rFont val="Calibri"/>
        <family val="2"/>
        <scheme val="minor"/>
      </rPr>
      <t>Voit</t>
    </r>
    <r>
      <rPr>
        <sz val="12"/>
        <color theme="1"/>
        <rFont val="Calibri"/>
        <family val="2"/>
        <scheme val="minor"/>
      </rPr>
      <t xml:space="preserve"> nyt tarkastella näiden lukujen perusteella lasketun kuormatraktorin konekustannuslaskelman, joka löytyy välilehden oikeasta laidasta.
• </t>
    </r>
    <r>
      <rPr>
        <b/>
        <sz val="12"/>
        <color theme="1"/>
        <rFont val="Calibri"/>
        <family val="2"/>
        <scheme val="minor"/>
      </rPr>
      <t>Kustannukset</t>
    </r>
    <r>
      <rPr>
        <sz val="12"/>
        <color theme="1"/>
        <rFont val="Calibri"/>
        <family val="2"/>
        <scheme val="minor"/>
      </rPr>
      <t xml:space="preserve"> ilmoitetaan laskelmassa absoluuttisena </t>
    </r>
    <r>
      <rPr>
        <b/>
        <sz val="12"/>
        <color theme="1"/>
        <rFont val="Calibri"/>
        <family val="2"/>
        <scheme val="minor"/>
      </rPr>
      <t xml:space="preserve">'€/v' </t>
    </r>
    <r>
      <rPr>
        <sz val="12"/>
        <color theme="1"/>
        <rFont val="Calibri"/>
        <family val="2"/>
        <scheme val="minor"/>
      </rPr>
      <t xml:space="preserve">sekä suhteellisina </t>
    </r>
    <r>
      <rPr>
        <b/>
        <sz val="12"/>
        <color theme="1"/>
        <rFont val="Calibri"/>
        <family val="2"/>
        <scheme val="minor"/>
      </rPr>
      <t>'% osuus'</t>
    </r>
    <r>
      <rPr>
        <sz val="12"/>
        <color theme="1"/>
        <rFont val="Calibri"/>
        <family val="2"/>
        <scheme val="minor"/>
      </rPr>
      <t xml:space="preserve"> lukuina. Kustannukset ilmoitetaan myös suhteutettuna käyttötuntia </t>
    </r>
    <r>
      <rPr>
        <b/>
        <sz val="12"/>
        <color theme="1"/>
        <rFont val="Calibri"/>
        <family val="2"/>
        <scheme val="minor"/>
      </rPr>
      <t>'€/G15'</t>
    </r>
    <r>
      <rPr>
        <sz val="12"/>
        <color theme="1"/>
        <rFont val="Calibri"/>
        <family val="2"/>
        <scheme val="minor"/>
      </rPr>
      <t xml:space="preserve"> sekä korjattua puukuutiometriä kohti </t>
    </r>
    <r>
      <rPr>
        <b/>
        <sz val="12"/>
        <color theme="1"/>
        <rFont val="Calibri"/>
        <family val="2"/>
        <scheme val="minor"/>
      </rPr>
      <t>'€/m3'</t>
    </r>
    <r>
      <rPr>
        <sz val="12"/>
        <color theme="1"/>
        <rFont val="Calibri"/>
        <family val="2"/>
        <scheme val="minor"/>
      </rPr>
      <t xml:space="preserve">. 
• </t>
    </r>
    <r>
      <rPr>
        <b/>
        <sz val="12"/>
        <color theme="1"/>
        <rFont val="Calibri"/>
        <family val="2"/>
        <scheme val="minor"/>
      </rPr>
      <t>Tämän</t>
    </r>
    <r>
      <rPr>
        <sz val="12"/>
        <color theme="1"/>
        <rFont val="Calibri"/>
        <family val="2"/>
        <scheme val="minor"/>
      </rPr>
      <t xml:space="preserve"> välilehden jälkeen voit palata 'korjuuketju' -välilehdelle tarkastelemaan puunkorjuuketjun konekustannuslaskelmaa. </t>
    </r>
  </si>
  <si>
    <r>
      <t xml:space="preserve">• </t>
    </r>
    <r>
      <rPr>
        <b/>
        <sz val="12"/>
        <color theme="1"/>
        <rFont val="Calibri"/>
        <family val="2"/>
        <scheme val="minor"/>
      </rPr>
      <t>Voit</t>
    </r>
    <r>
      <rPr>
        <sz val="12"/>
        <color theme="1"/>
        <rFont val="Calibri"/>
        <family val="2"/>
        <scheme val="minor"/>
      </rPr>
      <t xml:space="preserve"> tehdä tällä välilehdellä herkkyysanalyysiä puunkorjuuketjun kustannuksillesi.
• </t>
    </r>
    <r>
      <rPr>
        <b/>
        <sz val="12"/>
        <color theme="1"/>
        <rFont val="Calibri"/>
        <family val="2"/>
        <scheme val="minor"/>
      </rPr>
      <t>Herkkyysnalyysi</t>
    </r>
    <r>
      <rPr>
        <sz val="12"/>
        <color theme="1"/>
        <rFont val="Calibri"/>
        <family val="2"/>
        <scheme val="minor"/>
      </rPr>
      <t xml:space="preserve"> -välilehti käyttää natiivisti 'korjuuketju' -välilehden Puunkorjuuketjun konekustannuslaskelman arvoja.
• </t>
    </r>
    <r>
      <rPr>
        <b/>
        <sz val="12"/>
        <color theme="1"/>
        <rFont val="Calibri"/>
        <family val="2"/>
        <scheme val="minor"/>
      </rPr>
      <t>Tavoitteena</t>
    </r>
    <r>
      <rPr>
        <sz val="12"/>
        <color theme="1"/>
        <rFont val="Calibri"/>
        <family val="2"/>
        <scheme val="minor"/>
      </rPr>
      <t xml:space="preserve"> on tehdä skenaarioita ja tarkastella, miten kulujen nousu tietyissä prosenttiyksiköissä vaikuttaa puunkorjuuketjun kustannusrakenteeseen.
• </t>
    </r>
    <r>
      <rPr>
        <b/>
        <sz val="12"/>
        <color theme="1"/>
        <rFont val="Calibri"/>
        <family val="2"/>
        <scheme val="minor"/>
      </rPr>
      <t>Ensimmäisessä</t>
    </r>
    <r>
      <rPr>
        <sz val="12"/>
        <color theme="1"/>
        <rFont val="Calibri"/>
        <family val="2"/>
        <scheme val="minor"/>
      </rPr>
      <t xml:space="preserve"> 'Arvo nousee / laskee %' -kohdassa käyttäjän tulee asettaa prosentteina kustannuserien muutokset.
• </t>
    </r>
    <r>
      <rPr>
        <b/>
        <sz val="12"/>
        <color theme="1"/>
        <rFont val="Calibri"/>
        <family val="2"/>
        <scheme val="minor"/>
      </rPr>
      <t>Toisessa</t>
    </r>
    <r>
      <rPr>
        <sz val="12"/>
        <color theme="1"/>
        <rFont val="Calibri"/>
        <family val="2"/>
        <scheme val="minor"/>
      </rPr>
      <t xml:space="preserve"> 'Muutoksen jälkeen havaittavat arvot' -kohdassa käyttäjä havaitsee, kuinka suuriksi kustannuserät kasvavat prosentuaalisten muutosten jälkeen.
• </t>
    </r>
    <r>
      <rPr>
        <b/>
        <sz val="12"/>
        <color theme="1"/>
        <rFont val="Calibri"/>
        <family val="2"/>
        <scheme val="minor"/>
      </rPr>
      <t>Kolmannessa</t>
    </r>
    <r>
      <rPr>
        <sz val="12"/>
        <color theme="1"/>
        <rFont val="Calibri"/>
        <family val="2"/>
        <scheme val="minor"/>
      </rPr>
      <t xml:space="preserve"> 'Muutos' - kohdassa laskelma tulostaa muutoksen suuruuden kustannuserittäin.</t>
    </r>
  </si>
  <si>
    <t>Puunkorjuun konekustannusten laskentapohja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</si>
</sst>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numFmt numFmtId="165" formatCode="#,##0.0"/>
    <numFmt numFmtId="166" formatCode="0.0"/>
    <numFmt numFmtId="167" formatCode="0.0\ %"/>
  </numFmts>
  <fonts count="26"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1"/>
      <color rgb="FF000000"/>
      <name val="Calibri"/>
      <family val="2"/>
      <scheme val="minor"/>
    </font>
    <font>
      <sz val="8"/>
      <name val="Calibri"/>
      <family val="2"/>
      <scheme val="minor"/>
    </font>
    <font>
      <u/>
      <sz val="11"/>
      <color theme="1"/>
      <name val="Calibri"/>
      <family val="2"/>
      <scheme val="minor"/>
    </font>
    <font>
      <b/>
      <u/>
      <sz val="11"/>
      <color theme="1"/>
      <name val="Calibri"/>
      <family val="2"/>
      <scheme val="minor"/>
    </font>
    <font>
      <b/>
      <sz val="12"/>
      <color rgb="FF000000"/>
      <name val="Calibri"/>
      <family val="2"/>
      <scheme val="minor"/>
    </font>
    <font>
      <b/>
      <i/>
      <sz val="12"/>
      <color theme="1"/>
      <name val="Calibri"/>
      <family val="2"/>
      <scheme val="minor"/>
    </font>
    <font>
      <i/>
      <sz val="12"/>
      <color theme="1"/>
      <name val="Calibri"/>
      <family val="2"/>
      <scheme val="minor"/>
    </font>
    <font>
      <sz val="11"/>
      <color theme="1"/>
      <name val="Calibri"/>
      <family val="2"/>
      <scheme val="minor"/>
    </font>
    <font>
      <sz val="11"/>
      <color rgb="FFFF0000"/>
      <name val="Calibri"/>
      <family val="2"/>
      <scheme val="minor"/>
    </font>
    <font>
      <sz val="9"/>
      <color theme="1"/>
      <name val="Segoe UI"/>
      <family val="2"/>
    </font>
    <font>
      <u/>
      <sz val="12"/>
      <color theme="1"/>
      <name val="Calibri"/>
      <family val="2"/>
      <scheme val="minor"/>
    </font>
    <font>
      <sz val="12"/>
      <name val="Calibri"/>
      <family val="2"/>
      <scheme val="minor"/>
    </font>
    <font>
      <b/>
      <sz val="12"/>
      <name val="Calibri"/>
      <family val="2"/>
      <scheme val="minor"/>
    </font>
    <font>
      <b/>
      <u/>
      <sz val="12"/>
      <color theme="1"/>
      <name val="Calibri"/>
      <family val="2"/>
      <scheme val="minor"/>
    </font>
    <font>
      <sz val="12"/>
      <color rgb="FF000000"/>
      <name val="Calibri"/>
      <family val="2"/>
      <scheme val="minor"/>
    </font>
    <font>
      <sz val="18"/>
      <color theme="3"/>
      <name val="Calibri Light"/>
      <family val="2"/>
      <scheme val="major"/>
    </font>
    <font>
      <b/>
      <sz val="15"/>
      <color theme="3"/>
      <name val="Calibri"/>
      <family val="2"/>
      <scheme val="minor"/>
    </font>
    <font>
      <b/>
      <sz val="15"/>
      <name val="Calibri"/>
      <family val="2"/>
      <scheme val="minor"/>
    </font>
    <font>
      <b/>
      <sz val="1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bgColor indexed="64"/>
      </patternFill>
    </fill>
    <fill>
      <patternFill patternType="solid">
        <fgColor theme="0"/>
        <bgColor rgb="FF000000"/>
      </patternFill>
    </fill>
    <fill>
      <patternFill patternType="solid">
        <fgColor rgb="FFFFC00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39997558519241921"/>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s>
  <cellStyleXfs count="4">
    <xf numFmtId="0" fontId="0" fillId="0" borderId="0"/>
    <xf numFmtId="9" fontId="14" fillId="0" borderId="0" applyFont="0" applyFill="0" applyBorder="0" applyAlignment="0" applyProtection="0"/>
    <xf numFmtId="0" fontId="22" fillId="0" borderId="0" applyNumberFormat="0" applyFill="0" applyBorder="0" applyAlignment="0" applyProtection="0"/>
    <xf numFmtId="0" fontId="23" fillId="0" borderId="33" applyNumberFormat="0" applyFill="0" applyAlignment="0" applyProtection="0"/>
  </cellStyleXfs>
  <cellXfs count="183">
    <xf numFmtId="0" fontId="0" fillId="0" borderId="0" xfId="0"/>
    <xf numFmtId="164" fontId="4" fillId="0" borderId="0" xfId="0" applyNumberFormat="1" applyFont="1" applyAlignment="1">
      <alignment horizontal="left"/>
    </xf>
    <xf numFmtId="164" fontId="5" fillId="0" borderId="0" xfId="0" applyNumberFormat="1" applyFont="1" applyAlignment="1">
      <alignment horizontal="left"/>
    </xf>
    <xf numFmtId="0" fontId="0" fillId="0" borderId="0" xfId="0" applyAlignment="1">
      <alignment horizontal="left"/>
    </xf>
    <xf numFmtId="0" fontId="2" fillId="0" borderId="0" xfId="0" applyFont="1" applyAlignment="1">
      <alignment horizontal="left"/>
    </xf>
    <xf numFmtId="0" fontId="0" fillId="2" borderId="0" xfId="0" applyFill="1" applyAlignment="1">
      <alignment horizontal="left"/>
    </xf>
    <xf numFmtId="0" fontId="3" fillId="2" borderId="0" xfId="0" applyFont="1" applyFill="1" applyAlignment="1">
      <alignment horizontal="left"/>
    </xf>
    <xf numFmtId="0" fontId="6"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2" fillId="7" borderId="0" xfId="0" applyFont="1" applyFill="1" applyAlignment="1">
      <alignment horizontal="left"/>
    </xf>
    <xf numFmtId="0" fontId="13" fillId="7" borderId="0" xfId="0" applyFont="1" applyFill="1" applyAlignment="1">
      <alignment horizontal="left"/>
    </xf>
    <xf numFmtId="0" fontId="7" fillId="0" borderId="0" xfId="0" applyFont="1" applyAlignment="1">
      <alignment horizontal="left"/>
    </xf>
    <xf numFmtId="0" fontId="11" fillId="0" borderId="0" xfId="0" applyFont="1" applyAlignment="1">
      <alignment horizontal="left"/>
    </xf>
    <xf numFmtId="165" fontId="0" fillId="0" borderId="0" xfId="0" applyNumberFormat="1" applyAlignment="1">
      <alignment horizontal="left"/>
    </xf>
    <xf numFmtId="0" fontId="11" fillId="5" borderId="0" xfId="0" applyFont="1" applyFill="1" applyAlignment="1">
      <alignment horizontal="left"/>
    </xf>
    <xf numFmtId="16" fontId="0" fillId="0" borderId="0" xfId="0" applyNumberFormat="1" applyAlignment="1">
      <alignment horizontal="left"/>
    </xf>
    <xf numFmtId="0" fontId="0" fillId="7" borderId="0" xfId="0" applyFill="1" applyAlignment="1">
      <alignment horizontal="left"/>
    </xf>
    <xf numFmtId="166" fontId="9" fillId="0" borderId="0" xfId="0" applyNumberFormat="1" applyFont="1" applyAlignment="1">
      <alignment horizontal="left"/>
    </xf>
    <xf numFmtId="166" fontId="0" fillId="0" borderId="0" xfId="0" applyNumberFormat="1" applyAlignment="1">
      <alignment horizontal="left"/>
    </xf>
    <xf numFmtId="0" fontId="3" fillId="0" borderId="0" xfId="0" applyFont="1" applyAlignment="1">
      <alignment horizontal="left"/>
    </xf>
    <xf numFmtId="0" fontId="1" fillId="0" borderId="0" xfId="0" applyFont="1" applyAlignment="1">
      <alignment horizontal="left"/>
    </xf>
    <xf numFmtId="0" fontId="3" fillId="7" borderId="0" xfId="0" applyFont="1" applyFill="1" applyAlignment="1">
      <alignment horizontal="left"/>
    </xf>
    <xf numFmtId="0" fontId="6" fillId="0" borderId="9" xfId="0" applyFont="1" applyBorder="1" applyAlignment="1">
      <alignment horizontal="left"/>
    </xf>
    <xf numFmtId="167" fontId="0" fillId="0" borderId="0" xfId="1" applyNumberFormat="1" applyFont="1" applyAlignment="1">
      <alignment horizontal="left"/>
    </xf>
    <xf numFmtId="2" fontId="0" fillId="0" borderId="0" xfId="0" applyNumberFormat="1" applyAlignment="1">
      <alignment horizontal="left"/>
    </xf>
    <xf numFmtId="4" fontId="10" fillId="0" borderId="0" xfId="0" applyNumberFormat="1" applyFont="1" applyAlignment="1">
      <alignment horizontal="left"/>
    </xf>
    <xf numFmtId="10" fontId="10" fillId="0" borderId="0" xfId="0" applyNumberFormat="1" applyFont="1" applyAlignment="1">
      <alignment horizontal="left"/>
    </xf>
    <xf numFmtId="0" fontId="15" fillId="0" borderId="0" xfId="0" applyFont="1" applyAlignment="1">
      <alignment horizontal="left"/>
    </xf>
    <xf numFmtId="0" fontId="6" fillId="0" borderId="9" xfId="0" applyFont="1" applyBorder="1" applyAlignment="1">
      <alignment horizontal="left" wrapText="1"/>
    </xf>
    <xf numFmtId="1" fontId="0" fillId="0" borderId="0" xfId="0" applyNumberFormat="1" applyAlignment="1">
      <alignment horizontal="left"/>
    </xf>
    <xf numFmtId="0" fontId="12" fillId="9" borderId="0" xfId="0" applyFont="1" applyFill="1" applyAlignment="1">
      <alignment horizontal="left"/>
    </xf>
    <xf numFmtId="0" fontId="13" fillId="9" borderId="0" xfId="0" applyFont="1" applyFill="1" applyAlignment="1">
      <alignment horizontal="left"/>
    </xf>
    <xf numFmtId="0" fontId="6" fillId="7" borderId="6" xfId="0" applyFont="1" applyFill="1" applyBorder="1" applyAlignment="1">
      <alignment horizontal="left" vertical="top"/>
    </xf>
    <xf numFmtId="0" fontId="16" fillId="0" borderId="0" xfId="0" applyFont="1"/>
    <xf numFmtId="1" fontId="9" fillId="0" borderId="0" xfId="0" applyNumberFormat="1" applyFont="1" applyBorder="1" applyAlignment="1">
      <alignment horizontal="left"/>
    </xf>
    <xf numFmtId="166" fontId="9" fillId="0" borderId="0" xfId="0" applyNumberFormat="1" applyFont="1" applyBorder="1" applyAlignment="1">
      <alignment horizontal="left"/>
    </xf>
    <xf numFmtId="0" fontId="0" fillId="0" borderId="0" xfId="0" quotePrefix="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xf>
    <xf numFmtId="3" fontId="0" fillId="0" borderId="0" xfId="0" applyNumberFormat="1" applyFill="1" applyBorder="1" applyAlignment="1">
      <alignment horizontal="left"/>
    </xf>
    <xf numFmtId="0" fontId="0" fillId="0" borderId="0" xfId="0" applyFill="1" applyAlignment="1">
      <alignment horizontal="left"/>
    </xf>
    <xf numFmtId="49" fontId="0" fillId="0" borderId="0" xfId="0" applyNumberFormat="1"/>
    <xf numFmtId="0" fontId="0" fillId="7" borderId="0" xfId="0" applyFill="1"/>
    <xf numFmtId="0" fontId="1" fillId="7" borderId="0" xfId="0" applyFont="1" applyFill="1"/>
    <xf numFmtId="49" fontId="1" fillId="0" borderId="0" xfId="0" applyNumberFormat="1" applyFont="1" applyAlignment="1">
      <alignment vertical="top" wrapText="1"/>
    </xf>
    <xf numFmtId="0" fontId="1" fillId="0" borderId="0" xfId="0" applyFont="1"/>
    <xf numFmtId="3" fontId="1" fillId="2" borderId="1" xfId="0" applyNumberFormat="1" applyFont="1" applyFill="1" applyBorder="1" applyAlignment="1">
      <alignment horizontal="left"/>
    </xf>
    <xf numFmtId="3" fontId="1" fillId="5" borderId="1" xfId="0" applyNumberFormat="1" applyFont="1" applyFill="1" applyBorder="1" applyAlignment="1">
      <alignment horizontal="left"/>
    </xf>
    <xf numFmtId="3" fontId="1" fillId="9" borderId="1" xfId="0" applyNumberFormat="1" applyFont="1" applyFill="1" applyBorder="1" applyAlignment="1">
      <alignment horizontal="left"/>
    </xf>
    <xf numFmtId="165" fontId="1" fillId="2" borderId="1" xfId="0" applyNumberFormat="1" applyFont="1" applyFill="1" applyBorder="1" applyAlignment="1">
      <alignment horizontal="left"/>
    </xf>
    <xf numFmtId="165" fontId="1" fillId="5" borderId="1" xfId="0" applyNumberFormat="1" applyFont="1" applyFill="1" applyBorder="1" applyAlignment="1">
      <alignment horizontal="left"/>
    </xf>
    <xf numFmtId="165" fontId="1" fillId="9" borderId="1" xfId="0" applyNumberFormat="1" applyFont="1" applyFill="1" applyBorder="1" applyAlignment="1">
      <alignment horizontal="left"/>
    </xf>
    <xf numFmtId="4" fontId="1" fillId="2" borderId="1" xfId="0" applyNumberFormat="1" applyFont="1" applyFill="1" applyBorder="1" applyAlignment="1">
      <alignment horizontal="left"/>
    </xf>
    <xf numFmtId="4" fontId="1" fillId="5" borderId="1" xfId="0" applyNumberFormat="1" applyFont="1" applyFill="1" applyBorder="1" applyAlignment="1">
      <alignment horizontal="left"/>
    </xf>
    <xf numFmtId="4" fontId="1" fillId="9" borderId="1" xfId="0" applyNumberFormat="1" applyFont="1" applyFill="1" applyBorder="1" applyAlignment="1">
      <alignment horizontal="left"/>
    </xf>
    <xf numFmtId="4" fontId="1" fillId="2" borderId="5" xfId="0" applyNumberFormat="1" applyFont="1" applyFill="1" applyBorder="1" applyAlignment="1">
      <alignment horizontal="left"/>
    </xf>
    <xf numFmtId="4" fontId="1" fillId="5" borderId="5" xfId="0" applyNumberFormat="1" applyFont="1" applyFill="1" applyBorder="1" applyAlignment="1">
      <alignment horizontal="left"/>
    </xf>
    <xf numFmtId="4" fontId="1" fillId="9" borderId="5" xfId="0" applyNumberFormat="1" applyFont="1" applyFill="1" applyBorder="1" applyAlignment="1">
      <alignment horizontal="left"/>
    </xf>
    <xf numFmtId="3" fontId="1" fillId="3" borderId="1" xfId="0" applyNumberFormat="1" applyFont="1" applyFill="1" applyBorder="1" applyAlignment="1">
      <alignment horizontal="left"/>
    </xf>
    <xf numFmtId="3" fontId="17" fillId="0" borderId="0" xfId="0" applyNumberFormat="1" applyFont="1" applyAlignment="1">
      <alignment horizontal="left"/>
    </xf>
    <xf numFmtId="167" fontId="6" fillId="0" borderId="0" xfId="0" applyNumberFormat="1" applyFont="1" applyAlignment="1">
      <alignment horizontal="left"/>
    </xf>
    <xf numFmtId="165" fontId="1" fillId="3" borderId="1" xfId="0" applyNumberFormat="1" applyFont="1" applyFill="1" applyBorder="1" applyAlignment="1">
      <alignment horizontal="left"/>
    </xf>
    <xf numFmtId="166" fontId="1" fillId="3" borderId="1" xfId="0" applyNumberFormat="1" applyFont="1" applyFill="1" applyBorder="1" applyAlignment="1">
      <alignment horizontal="left"/>
    </xf>
    <xf numFmtId="164" fontId="18" fillId="0" borderId="0" xfId="0" applyNumberFormat="1" applyFont="1" applyAlignment="1">
      <alignment horizontal="left"/>
    </xf>
    <xf numFmtId="0" fontId="17" fillId="0" borderId="0" xfId="0" applyFont="1" applyAlignment="1">
      <alignment horizontal="left"/>
    </xf>
    <xf numFmtId="3" fontId="17" fillId="5" borderId="1" xfId="0" applyNumberFormat="1" applyFont="1" applyFill="1" applyBorder="1" applyAlignment="1">
      <alignment horizontal="left"/>
    </xf>
    <xf numFmtId="165" fontId="17" fillId="5" borderId="1" xfId="0" applyNumberFormat="1" applyFont="1" applyFill="1" applyBorder="1" applyAlignment="1">
      <alignment horizontal="left"/>
    </xf>
    <xf numFmtId="166" fontId="17" fillId="5" borderId="1" xfId="0" applyNumberFormat="1" applyFont="1" applyFill="1" applyBorder="1" applyAlignment="1">
      <alignment horizontal="left"/>
    </xf>
    <xf numFmtId="164" fontId="19" fillId="0" borderId="0" xfId="0" applyNumberFormat="1" applyFont="1" applyAlignment="1">
      <alignment horizontal="left" indent="2"/>
    </xf>
    <xf numFmtId="1" fontId="1" fillId="0" borderId="0" xfId="0" applyNumberFormat="1" applyFont="1" applyAlignment="1">
      <alignment horizontal="left"/>
    </xf>
    <xf numFmtId="165" fontId="1" fillId="0" borderId="0" xfId="0" applyNumberFormat="1" applyFont="1" applyAlignment="1">
      <alignment horizontal="left"/>
    </xf>
    <xf numFmtId="166" fontId="1" fillId="0" borderId="0" xfId="0" applyNumberFormat="1" applyFont="1" applyAlignment="1">
      <alignment horizontal="left"/>
    </xf>
    <xf numFmtId="164" fontId="18" fillId="0" borderId="0" xfId="0" applyNumberFormat="1" applyFont="1" applyAlignment="1">
      <alignment horizontal="left" indent="4"/>
    </xf>
    <xf numFmtId="0" fontId="1" fillId="0" borderId="0" xfId="0" applyFont="1" applyAlignment="1">
      <alignment horizontal="left" indent="4"/>
    </xf>
    <xf numFmtId="0" fontId="17" fillId="0" borderId="0" xfId="0" applyFont="1" applyAlignment="1">
      <alignment horizontal="left" indent="4"/>
    </xf>
    <xf numFmtId="3" fontId="17" fillId="0" borderId="1" xfId="0" applyNumberFormat="1" applyFont="1" applyBorder="1" applyAlignment="1">
      <alignment horizontal="left"/>
    </xf>
    <xf numFmtId="165" fontId="17" fillId="0" borderId="1" xfId="0" applyNumberFormat="1" applyFont="1" applyBorder="1" applyAlignment="1">
      <alignment horizontal="left"/>
    </xf>
    <xf numFmtId="166" fontId="17" fillId="0" borderId="1" xfId="0" applyNumberFormat="1" applyFont="1" applyBorder="1" applyAlignment="1">
      <alignment horizontal="left"/>
    </xf>
    <xf numFmtId="3" fontId="1" fillId="0" borderId="0" xfId="0" applyNumberFormat="1" applyFont="1" applyAlignment="1">
      <alignment horizontal="left"/>
    </xf>
    <xf numFmtId="1" fontId="17" fillId="0" borderId="0" xfId="0" applyNumberFormat="1" applyFont="1" applyAlignment="1">
      <alignment horizontal="left"/>
    </xf>
    <xf numFmtId="166" fontId="17" fillId="0" borderId="0" xfId="0" applyNumberFormat="1" applyFont="1" applyAlignment="1">
      <alignment horizontal="left"/>
    </xf>
    <xf numFmtId="164" fontId="19" fillId="0" borderId="0" xfId="0" applyNumberFormat="1" applyFont="1" applyAlignment="1">
      <alignment horizontal="left"/>
    </xf>
    <xf numFmtId="167" fontId="1" fillId="0" borderId="0" xfId="0" applyNumberFormat="1" applyFont="1" applyAlignment="1">
      <alignment horizontal="left"/>
    </xf>
    <xf numFmtId="0" fontId="18" fillId="0" borderId="0" xfId="0" applyFont="1" applyAlignment="1">
      <alignment horizontal="left" indent="4"/>
    </xf>
    <xf numFmtId="166" fontId="1" fillId="0" borderId="1" xfId="0" applyNumberFormat="1" applyFont="1" applyBorder="1" applyAlignment="1">
      <alignment horizontal="left"/>
    </xf>
    <xf numFmtId="2" fontId="17" fillId="0" borderId="1" xfId="0" applyNumberFormat="1" applyFont="1" applyBorder="1" applyAlignment="1">
      <alignment horizontal="left"/>
    </xf>
    <xf numFmtId="164" fontId="19" fillId="0" borderId="0" xfId="0" applyNumberFormat="1" applyFont="1"/>
    <xf numFmtId="3" fontId="20" fillId="0" borderId="2" xfId="0" applyNumberFormat="1" applyFont="1" applyBorder="1" applyAlignment="1">
      <alignment horizontal="left"/>
    </xf>
    <xf numFmtId="165" fontId="20" fillId="0" borderId="2" xfId="0" applyNumberFormat="1" applyFont="1" applyBorder="1" applyAlignment="1">
      <alignment horizontal="left"/>
    </xf>
    <xf numFmtId="0" fontId="1" fillId="5" borderId="0" xfId="0" applyFont="1" applyFill="1" applyAlignment="1">
      <alignment horizontal="left"/>
    </xf>
    <xf numFmtId="0" fontId="1" fillId="2" borderId="1" xfId="0" applyFont="1" applyFill="1" applyBorder="1" applyAlignment="1">
      <alignment horizontal="left"/>
    </xf>
    <xf numFmtId="0" fontId="17" fillId="0" borderId="1" xfId="0" applyFont="1" applyBorder="1" applyAlignment="1">
      <alignment horizontal="left"/>
    </xf>
    <xf numFmtId="0" fontId="21" fillId="0" borderId="0" xfId="0" applyFont="1" applyAlignment="1">
      <alignment horizontal="left"/>
    </xf>
    <xf numFmtId="3" fontId="21" fillId="4" borderId="1" xfId="0" applyNumberFormat="1" applyFont="1" applyFill="1" applyBorder="1" applyAlignment="1">
      <alignment horizontal="left"/>
    </xf>
    <xf numFmtId="3" fontId="21" fillId="6" borderId="1" xfId="0" applyNumberFormat="1" applyFont="1" applyFill="1" applyBorder="1" applyAlignment="1">
      <alignment horizontal="left"/>
    </xf>
    <xf numFmtId="3" fontId="21" fillId="10" borderId="32" xfId="0" applyNumberFormat="1" applyFont="1" applyFill="1" applyBorder="1" applyAlignment="1">
      <alignment horizontal="left"/>
    </xf>
    <xf numFmtId="0" fontId="21" fillId="5" borderId="0" xfId="0" applyFont="1" applyFill="1" applyAlignment="1">
      <alignment horizontal="left"/>
    </xf>
    <xf numFmtId="166" fontId="21" fillId="4" borderId="3" xfId="0" applyNumberFormat="1" applyFont="1" applyFill="1" applyBorder="1" applyAlignment="1">
      <alignment horizontal="left"/>
    </xf>
    <xf numFmtId="166" fontId="21" fillId="6" borderId="3" xfId="0" applyNumberFormat="1" applyFont="1" applyFill="1" applyBorder="1" applyAlignment="1">
      <alignment horizontal="left"/>
    </xf>
    <xf numFmtId="166" fontId="21" fillId="10" borderId="12" xfId="0" applyNumberFormat="1" applyFont="1" applyFill="1" applyBorder="1" applyAlignment="1">
      <alignment horizontal="left"/>
    </xf>
    <xf numFmtId="166" fontId="21" fillId="10" borderId="32" xfId="0" applyNumberFormat="1" applyFont="1" applyFill="1" applyBorder="1" applyAlignment="1">
      <alignment horizontal="left"/>
    </xf>
    <xf numFmtId="3" fontId="21" fillId="6" borderId="3" xfId="0" applyNumberFormat="1" applyFont="1" applyFill="1" applyBorder="1" applyAlignment="1">
      <alignment horizontal="left"/>
    </xf>
    <xf numFmtId="3" fontId="21" fillId="10" borderId="31" xfId="0" applyNumberFormat="1" applyFont="1" applyFill="1" applyBorder="1" applyAlignment="1">
      <alignment horizontal="left"/>
    </xf>
    <xf numFmtId="166" fontId="21" fillId="0" borderId="0" xfId="0" applyNumberFormat="1" applyFont="1" applyAlignment="1">
      <alignment horizontal="left"/>
    </xf>
    <xf numFmtId="0" fontId="21" fillId="4" borderId="1" xfId="0" applyFont="1" applyFill="1" applyBorder="1" applyAlignment="1">
      <alignment horizontal="left"/>
    </xf>
    <xf numFmtId="0" fontId="21" fillId="6" borderId="1" xfId="0" applyFont="1" applyFill="1" applyBorder="1" applyAlignment="1">
      <alignment horizontal="left"/>
    </xf>
    <xf numFmtId="1" fontId="21" fillId="10" borderId="24" xfId="0" applyNumberFormat="1" applyFont="1" applyFill="1" applyBorder="1" applyAlignment="1">
      <alignment horizontal="left"/>
    </xf>
    <xf numFmtId="0" fontId="21" fillId="4" borderId="3" xfId="0" applyFont="1" applyFill="1" applyBorder="1" applyAlignment="1">
      <alignment horizontal="left"/>
    </xf>
    <xf numFmtId="0" fontId="21" fillId="6" borderId="3" xfId="0" applyFont="1" applyFill="1" applyBorder="1" applyAlignment="1">
      <alignment horizontal="left"/>
    </xf>
    <xf numFmtId="1" fontId="21" fillId="10" borderId="18" xfId="0" applyNumberFormat="1" applyFont="1" applyFill="1" applyBorder="1" applyAlignment="1">
      <alignment horizontal="left"/>
    </xf>
    <xf numFmtId="1" fontId="21" fillId="4" borderId="3" xfId="1" applyNumberFormat="1" applyFont="1" applyFill="1" applyBorder="1" applyAlignment="1">
      <alignment horizontal="left"/>
    </xf>
    <xf numFmtId="1" fontId="21" fillId="10" borderId="25" xfId="0" applyNumberFormat="1" applyFont="1" applyFill="1" applyBorder="1" applyAlignment="1">
      <alignment horizontal="left"/>
    </xf>
    <xf numFmtId="3" fontId="21" fillId="6" borderId="26" xfId="0" applyNumberFormat="1" applyFont="1" applyFill="1" applyBorder="1" applyAlignment="1">
      <alignment horizontal="left"/>
    </xf>
    <xf numFmtId="3" fontId="21" fillId="6" borderId="25" xfId="0" applyNumberFormat="1" applyFont="1" applyFill="1" applyBorder="1" applyAlignment="1">
      <alignment horizontal="left"/>
    </xf>
    <xf numFmtId="3" fontId="21" fillId="10" borderId="27" xfId="0" applyNumberFormat="1" applyFont="1" applyFill="1" applyBorder="1" applyAlignment="1">
      <alignment horizontal="left"/>
    </xf>
    <xf numFmtId="3" fontId="21" fillId="6" borderId="28" xfId="0" applyNumberFormat="1" applyFont="1" applyFill="1" applyBorder="1" applyAlignment="1">
      <alignment horizontal="left"/>
    </xf>
    <xf numFmtId="3" fontId="21" fillId="6" borderId="24" xfId="0" applyNumberFormat="1" applyFont="1" applyFill="1" applyBorder="1" applyAlignment="1">
      <alignment horizontal="left"/>
    </xf>
    <xf numFmtId="3" fontId="21" fillId="10" borderId="29" xfId="0" applyNumberFormat="1" applyFont="1" applyFill="1" applyBorder="1" applyAlignment="1">
      <alignment horizontal="left"/>
    </xf>
    <xf numFmtId="165" fontId="17" fillId="0" borderId="3" xfId="0" applyNumberFormat="1" applyFont="1" applyBorder="1" applyAlignment="1">
      <alignment horizontal="left"/>
    </xf>
    <xf numFmtId="3" fontId="1" fillId="3" borderId="5" xfId="0" applyNumberFormat="1" applyFont="1" applyFill="1" applyBorder="1" applyAlignment="1">
      <alignment horizontal="left"/>
    </xf>
    <xf numFmtId="0" fontId="18" fillId="0" borderId="0" xfId="0" applyFont="1" applyAlignment="1">
      <alignment horizontal="left"/>
    </xf>
    <xf numFmtId="3" fontId="17" fillId="0" borderId="3" xfId="0" applyNumberFormat="1" applyFont="1" applyBorder="1" applyAlignment="1">
      <alignment horizontal="left"/>
    </xf>
    <xf numFmtId="166" fontId="17" fillId="0" borderId="3" xfId="0" applyNumberFormat="1" applyFont="1" applyBorder="1" applyAlignment="1">
      <alignment horizontal="left"/>
    </xf>
    <xf numFmtId="3" fontId="20" fillId="0" borderId="1" xfId="0" applyNumberFormat="1" applyFont="1" applyBorder="1" applyAlignment="1">
      <alignment horizontal="left"/>
    </xf>
    <xf numFmtId="165" fontId="20" fillId="0" borderId="1" xfId="0" applyNumberFormat="1" applyFont="1" applyBorder="1" applyAlignment="1">
      <alignment horizontal="left"/>
    </xf>
    <xf numFmtId="3" fontId="21" fillId="10" borderId="1" xfId="0" applyNumberFormat="1" applyFont="1" applyFill="1" applyBorder="1" applyAlignment="1">
      <alignment horizontal="left"/>
    </xf>
    <xf numFmtId="0" fontId="21" fillId="10" borderId="1" xfId="0" applyFont="1" applyFill="1" applyBorder="1" applyAlignment="1">
      <alignment horizontal="left"/>
    </xf>
    <xf numFmtId="0" fontId="1" fillId="2" borderId="1" xfId="0" applyNumberFormat="1" applyFont="1" applyFill="1" applyBorder="1" applyAlignment="1">
      <alignment horizontal="left"/>
    </xf>
    <xf numFmtId="0" fontId="1" fillId="5" borderId="1" xfId="0" applyFont="1" applyFill="1" applyBorder="1" applyAlignment="1">
      <alignment horizontal="left"/>
    </xf>
    <xf numFmtId="0" fontId="1" fillId="9" borderId="1" xfId="0" applyFont="1" applyFill="1" applyBorder="1" applyAlignment="1">
      <alignment horizontal="left"/>
    </xf>
    <xf numFmtId="2" fontId="1" fillId="0" borderId="1" xfId="0" applyNumberFormat="1" applyFont="1" applyBorder="1" applyAlignment="1">
      <alignment horizontal="left"/>
    </xf>
    <xf numFmtId="1" fontId="1" fillId="9" borderId="1" xfId="0" applyNumberFormat="1" applyFont="1" applyFill="1" applyBorder="1" applyAlignment="1">
      <alignment horizontal="left"/>
    </xf>
    <xf numFmtId="165" fontId="21" fillId="10" borderId="1" xfId="0" applyNumberFormat="1" applyFont="1" applyFill="1" applyBorder="1" applyAlignment="1">
      <alignment horizontal="left"/>
    </xf>
    <xf numFmtId="3" fontId="21" fillId="0" borderId="0" xfId="0" applyNumberFormat="1" applyFont="1" applyAlignment="1">
      <alignment horizontal="left"/>
    </xf>
    <xf numFmtId="3" fontId="21" fillId="6" borderId="2" xfId="0" applyNumberFormat="1" applyFont="1" applyFill="1" applyBorder="1" applyAlignment="1">
      <alignment horizontal="left"/>
    </xf>
    <xf numFmtId="3" fontId="21" fillId="6" borderId="18" xfId="0" applyNumberFormat="1" applyFont="1" applyFill="1" applyBorder="1" applyAlignment="1">
      <alignment horizontal="left"/>
    </xf>
    <xf numFmtId="3" fontId="21" fillId="10" borderId="19" xfId="0" applyNumberFormat="1" applyFont="1" applyFill="1" applyBorder="1" applyAlignment="1">
      <alignment horizontal="left"/>
    </xf>
    <xf numFmtId="3" fontId="21" fillId="6" borderId="30" xfId="0" applyNumberFormat="1" applyFont="1" applyFill="1" applyBorder="1" applyAlignment="1">
      <alignment horizontal="left"/>
    </xf>
    <xf numFmtId="3" fontId="21" fillId="10" borderId="23" xfId="0" applyNumberFormat="1" applyFont="1" applyFill="1" applyBorder="1" applyAlignment="1">
      <alignment horizontal="left"/>
    </xf>
    <xf numFmtId="1" fontId="1" fillId="3" borderId="1" xfId="0" applyNumberFormat="1" applyFont="1" applyFill="1" applyBorder="1" applyAlignment="1">
      <alignment horizontal="left"/>
    </xf>
    <xf numFmtId="3" fontId="1" fillId="0" borderId="1" xfId="0" applyNumberFormat="1" applyFont="1" applyBorder="1" applyAlignment="1">
      <alignment horizontal="left"/>
    </xf>
    <xf numFmtId="165" fontId="1" fillId="0" borderId="3" xfId="0" applyNumberFormat="1" applyFont="1" applyBorder="1" applyAlignment="1">
      <alignment horizontal="left"/>
    </xf>
    <xf numFmtId="3" fontId="1" fillId="0" borderId="3" xfId="0" applyNumberFormat="1" applyFont="1" applyBorder="1" applyAlignment="1">
      <alignment horizontal="left"/>
    </xf>
    <xf numFmtId="1" fontId="17" fillId="0" borderId="0" xfId="0" applyNumberFormat="1" applyFont="1" applyBorder="1" applyAlignment="1">
      <alignment horizontal="left"/>
    </xf>
    <xf numFmtId="166" fontId="17" fillId="0" borderId="0" xfId="0" applyNumberFormat="1" applyFont="1" applyBorder="1" applyAlignment="1">
      <alignment horizontal="left"/>
    </xf>
    <xf numFmtId="0" fontId="1" fillId="7" borderId="20" xfId="0" applyFont="1" applyFill="1" applyBorder="1" applyAlignment="1">
      <alignment horizontal="left"/>
    </xf>
    <xf numFmtId="0" fontId="1" fillId="7" borderId="21" xfId="0" applyFont="1" applyFill="1" applyBorder="1" applyAlignment="1">
      <alignment horizontal="left"/>
    </xf>
    <xf numFmtId="0" fontId="1" fillId="2" borderId="17" xfId="0" applyFont="1" applyFill="1" applyBorder="1" applyAlignment="1">
      <alignment horizontal="left"/>
    </xf>
    <xf numFmtId="3" fontId="1" fillId="3" borderId="3" xfId="0" applyNumberFormat="1" applyFont="1" applyFill="1" applyBorder="1" applyAlignment="1">
      <alignment horizontal="left"/>
    </xf>
    <xf numFmtId="3" fontId="1" fillId="0" borderId="8" xfId="0" applyNumberFormat="1" applyFont="1" applyBorder="1" applyAlignment="1">
      <alignment horizontal="left"/>
    </xf>
    <xf numFmtId="3" fontId="1" fillId="8" borderId="11" xfId="0" applyNumberFormat="1" applyFont="1" applyFill="1" applyBorder="1" applyAlignment="1">
      <alignment horizontal="left"/>
    </xf>
    <xf numFmtId="0" fontId="1" fillId="0" borderId="8" xfId="0" applyFont="1" applyBorder="1" applyAlignment="1">
      <alignment horizontal="left"/>
    </xf>
    <xf numFmtId="166" fontId="1" fillId="8" borderId="22" xfId="0" applyNumberFormat="1" applyFont="1" applyFill="1" applyBorder="1" applyAlignment="1">
      <alignment horizontal="left"/>
    </xf>
    <xf numFmtId="0" fontId="1" fillId="2" borderId="6" xfId="0" applyFont="1" applyFill="1" applyBorder="1" applyAlignment="1">
      <alignment horizontal="left"/>
    </xf>
    <xf numFmtId="3" fontId="1" fillId="8" borderId="7" xfId="0" applyNumberFormat="1" applyFont="1" applyFill="1" applyBorder="1" applyAlignment="1">
      <alignment horizontal="left"/>
    </xf>
    <xf numFmtId="166" fontId="1" fillId="8" borderId="7" xfId="0" applyNumberFormat="1" applyFont="1" applyFill="1" applyBorder="1" applyAlignment="1">
      <alignment horizontal="left"/>
    </xf>
    <xf numFmtId="0" fontId="1" fillId="0" borderId="9" xfId="0" applyFont="1" applyBorder="1" applyAlignment="1">
      <alignment horizontal="left"/>
    </xf>
    <xf numFmtId="0" fontId="1" fillId="2" borderId="4" xfId="0" applyFont="1" applyFill="1" applyBorder="1" applyAlignment="1">
      <alignment horizontal="left"/>
    </xf>
    <xf numFmtId="3" fontId="1" fillId="3" borderId="7" xfId="0" applyNumberFormat="1" applyFont="1" applyFill="1" applyBorder="1" applyAlignment="1">
      <alignment horizontal="left"/>
    </xf>
    <xf numFmtId="166" fontId="1" fillId="3" borderId="7" xfId="0" applyNumberFormat="1" applyFont="1" applyFill="1" applyBorder="1" applyAlignment="1">
      <alignment horizontal="left"/>
    </xf>
    <xf numFmtId="166" fontId="1" fillId="3" borderId="10" xfId="0" applyNumberFormat="1" applyFont="1" applyFill="1" applyBorder="1" applyAlignment="1">
      <alignment horizontal="left"/>
    </xf>
    <xf numFmtId="2" fontId="1" fillId="0" borderId="9" xfId="0" applyNumberFormat="1" applyFont="1" applyBorder="1" applyAlignment="1">
      <alignment horizontal="left"/>
    </xf>
    <xf numFmtId="3" fontId="1" fillId="0" borderId="9" xfId="0" applyNumberFormat="1" applyFont="1" applyBorder="1" applyAlignment="1">
      <alignment horizontal="left"/>
    </xf>
    <xf numFmtId="165" fontId="17" fillId="0" borderId="10" xfId="0" applyNumberFormat="1" applyFont="1" applyBorder="1" applyAlignment="1">
      <alignment horizontal="left"/>
    </xf>
    <xf numFmtId="3" fontId="17" fillId="0" borderId="7" xfId="0" applyNumberFormat="1" applyFont="1" applyBorder="1" applyAlignment="1">
      <alignment horizontal="left"/>
    </xf>
    <xf numFmtId="166" fontId="17" fillId="0" borderId="13" xfId="0" applyNumberFormat="1" applyFont="1" applyBorder="1" applyAlignment="1">
      <alignment horizontal="left"/>
    </xf>
    <xf numFmtId="166" fontId="17" fillId="0" borderId="16" xfId="0" applyNumberFormat="1" applyFont="1" applyBorder="1" applyAlignment="1">
      <alignment horizontal="left"/>
    </xf>
    <xf numFmtId="166" fontId="17" fillId="0" borderId="15" xfId="0" applyNumberFormat="1" applyFont="1" applyBorder="1" applyAlignment="1">
      <alignment horizontal="left"/>
    </xf>
    <xf numFmtId="166" fontId="17" fillId="0" borderId="14" xfId="0" applyNumberFormat="1" applyFont="1" applyBorder="1" applyAlignment="1">
      <alignment horizontal="left"/>
    </xf>
    <xf numFmtId="166" fontId="17" fillId="0" borderId="10" xfId="0" applyNumberFormat="1" applyFont="1" applyBorder="1" applyAlignment="1">
      <alignment horizontal="left"/>
    </xf>
    <xf numFmtId="3" fontId="17" fillId="0" borderId="12" xfId="0" applyNumberFormat="1" applyFont="1" applyBorder="1" applyAlignment="1">
      <alignment horizontal="left"/>
    </xf>
    <xf numFmtId="166" fontId="17" fillId="0" borderId="12" xfId="0" applyNumberFormat="1" applyFont="1" applyBorder="1" applyAlignment="1">
      <alignment horizontal="left"/>
    </xf>
    <xf numFmtId="166" fontId="17" fillId="0" borderId="8" xfId="0" applyNumberFormat="1" applyFont="1" applyBorder="1" applyAlignment="1">
      <alignment horizontal="left"/>
    </xf>
    <xf numFmtId="3" fontId="17" fillId="0" borderId="9" xfId="0" applyNumberFormat="1" applyFont="1" applyBorder="1" applyAlignment="1">
      <alignment horizontal="left"/>
    </xf>
    <xf numFmtId="166" fontId="17" fillId="0" borderId="9" xfId="0" applyNumberFormat="1" applyFont="1" applyBorder="1" applyAlignment="1">
      <alignment horizontal="left"/>
    </xf>
    <xf numFmtId="0" fontId="1" fillId="0" borderId="17" xfId="0" applyFont="1" applyBorder="1" applyAlignment="1">
      <alignment horizontal="left"/>
    </xf>
    <xf numFmtId="165" fontId="20" fillId="0" borderId="4" xfId="0" applyNumberFormat="1" applyFont="1" applyBorder="1" applyAlignment="1">
      <alignment horizontal="left"/>
    </xf>
    <xf numFmtId="4" fontId="20" fillId="0" borderId="2" xfId="0" applyNumberFormat="1" applyFont="1" applyBorder="1" applyAlignment="1">
      <alignment horizontal="left"/>
    </xf>
    <xf numFmtId="4" fontId="20" fillId="0" borderId="4" xfId="0" applyNumberFormat="1" applyFont="1" applyBorder="1" applyAlignment="1">
      <alignment horizontal="left"/>
    </xf>
    <xf numFmtId="49" fontId="25" fillId="0" borderId="0" xfId="2" applyNumberFormat="1" applyFont="1" applyFill="1" applyAlignment="1">
      <alignment vertical="center"/>
    </xf>
    <xf numFmtId="0" fontId="22" fillId="0" borderId="0" xfId="2" applyFill="1"/>
    <xf numFmtId="49" fontId="24" fillId="7" borderId="0" xfId="3" applyNumberFormat="1" applyFont="1" applyFill="1" applyBorder="1" applyAlignment="1">
      <alignment vertical="center"/>
    </xf>
  </cellXfs>
  <cellStyles count="4">
    <cellStyle name="Normaali" xfId="0" builtinId="0"/>
    <cellStyle name="Otsikko" xfId="2" builtinId="15"/>
    <cellStyle name="Otsikko 1" xfId="3" builtinId="16"/>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8659</xdr:colOff>
      <xdr:row>2</xdr:row>
      <xdr:rowOff>1065069</xdr:rowOff>
    </xdr:from>
    <xdr:to>
      <xdr:col>4</xdr:col>
      <xdr:colOff>5645</xdr:colOff>
      <xdr:row>2</xdr:row>
      <xdr:rowOff>1643193</xdr:rowOff>
    </xdr:to>
    <xdr:sp macro="" textlink="">
      <xdr:nvSpPr>
        <xdr:cNvPr id="2" name="Suorakulmio 6">
          <a:extLst>
            <a:ext uri="{FF2B5EF4-FFF2-40B4-BE49-F238E27FC236}">
              <a16:creationId xmlns:a16="http://schemas.microsoft.com/office/drawing/2014/main" id="{FF843892-BB10-476C-A252-A00651DB125F}"/>
            </a:ext>
            <a:ext uri="{C183D7F6-B498-43B3-948B-1728B52AA6E4}">
              <adec:decorative xmlns:adec="http://schemas.microsoft.com/office/drawing/2017/decorative" val="1"/>
            </a:ext>
          </a:extLst>
        </xdr:cNvPr>
        <xdr:cNvSpPr/>
      </xdr:nvSpPr>
      <xdr:spPr>
        <a:xfrm>
          <a:off x="6243204" y="1472046"/>
          <a:ext cx="1209259" cy="578124"/>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a:t>Lu</a:t>
          </a:r>
          <a:r>
            <a:rPr lang="fi-FI" sz="1100" b="1" baseline="0"/>
            <a:t>e yleiset ohjeet</a:t>
          </a:r>
          <a:endParaRPr lang="fi-FI" sz="1100" b="1"/>
        </a:p>
      </xdr:txBody>
    </xdr:sp>
    <xdr:clientData/>
  </xdr:twoCellAnchor>
  <xdr:twoCellAnchor>
    <xdr:from>
      <xdr:col>2</xdr:col>
      <xdr:colOff>597478</xdr:colOff>
      <xdr:row>2</xdr:row>
      <xdr:rowOff>1643193</xdr:rowOff>
    </xdr:from>
    <xdr:to>
      <xdr:col>3</xdr:col>
      <xdr:colOff>7152</xdr:colOff>
      <xdr:row>4</xdr:row>
      <xdr:rowOff>498839</xdr:rowOff>
    </xdr:to>
    <xdr:cxnSp macro="">
      <xdr:nvCxnSpPr>
        <xdr:cNvPr id="3" name="Suora nuoliyhdysviiva 14">
          <a:extLst>
            <a:ext uri="{FF2B5EF4-FFF2-40B4-BE49-F238E27FC236}">
              <a16:creationId xmlns:a16="http://schemas.microsoft.com/office/drawing/2014/main" id="{AABE34D8-BCCB-49AF-BF92-41472EEDD393}"/>
            </a:ext>
            <a:ext uri="{C183D7F6-B498-43B3-948B-1728B52AA6E4}">
              <adec:decorative xmlns:adec="http://schemas.microsoft.com/office/drawing/2017/decorative" val="1"/>
            </a:ext>
          </a:extLst>
        </xdr:cNvPr>
        <xdr:cNvCxnSpPr>
          <a:stCxn id="2" idx="2"/>
        </xdr:cNvCxnSpPr>
      </xdr:nvCxnSpPr>
      <xdr:spPr>
        <a:xfrm flipH="1">
          <a:off x="6832023" y="2050170"/>
          <a:ext cx="15811" cy="15486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8660</xdr:colOff>
      <xdr:row>4</xdr:row>
      <xdr:rowOff>510887</xdr:rowOff>
    </xdr:from>
    <xdr:to>
      <xdr:col>4</xdr:col>
      <xdr:colOff>5646</xdr:colOff>
      <xdr:row>4</xdr:row>
      <xdr:rowOff>1272887</xdr:rowOff>
    </xdr:to>
    <xdr:sp macro="" textlink="">
      <xdr:nvSpPr>
        <xdr:cNvPr id="4" name="Suorakulmio 8">
          <a:extLst>
            <a:ext uri="{FF2B5EF4-FFF2-40B4-BE49-F238E27FC236}">
              <a16:creationId xmlns:a16="http://schemas.microsoft.com/office/drawing/2014/main" id="{F9776C80-1316-4B83-96A1-6A832047F070}"/>
            </a:ext>
            <a:ext uri="{C183D7F6-B498-43B3-948B-1728B52AA6E4}">
              <adec:decorative xmlns:adec="http://schemas.microsoft.com/office/drawing/2017/decorative" val="1"/>
            </a:ext>
          </a:extLst>
        </xdr:cNvPr>
        <xdr:cNvSpPr/>
      </xdr:nvSpPr>
      <xdr:spPr>
        <a:xfrm>
          <a:off x="6243205" y="3610842"/>
          <a:ext cx="1209259" cy="7620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Täytä korjuuketju- välilehti </a:t>
          </a:r>
          <a:endParaRPr lang="fi-FI" sz="1100" b="1"/>
        </a:p>
      </xdr:txBody>
    </xdr:sp>
    <xdr:clientData/>
  </xdr:twoCellAnchor>
  <xdr:twoCellAnchor>
    <xdr:from>
      <xdr:col>3</xdr:col>
      <xdr:colOff>8659</xdr:colOff>
      <xdr:row>4</xdr:row>
      <xdr:rowOff>1281546</xdr:rowOff>
    </xdr:from>
    <xdr:to>
      <xdr:col>3</xdr:col>
      <xdr:colOff>18599</xdr:colOff>
      <xdr:row>6</xdr:row>
      <xdr:rowOff>672774</xdr:rowOff>
    </xdr:to>
    <xdr:cxnSp macro="">
      <xdr:nvCxnSpPr>
        <xdr:cNvPr id="5" name="Suora nuoliyhdysviiva 21">
          <a:extLst>
            <a:ext uri="{FF2B5EF4-FFF2-40B4-BE49-F238E27FC236}">
              <a16:creationId xmlns:a16="http://schemas.microsoft.com/office/drawing/2014/main" id="{C4096908-9BCF-4D66-B4B6-A1805BB6840E}"/>
            </a:ext>
            <a:ext uri="{C183D7F6-B498-43B3-948B-1728B52AA6E4}">
              <adec:decorative xmlns:adec="http://schemas.microsoft.com/office/drawing/2017/decorative" val="1"/>
            </a:ext>
          </a:extLst>
        </xdr:cNvPr>
        <xdr:cNvCxnSpPr/>
      </xdr:nvCxnSpPr>
      <xdr:spPr>
        <a:xfrm>
          <a:off x="6849341" y="4381501"/>
          <a:ext cx="9940" cy="196297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8659</xdr:colOff>
      <xdr:row>6</xdr:row>
      <xdr:rowOff>684068</xdr:rowOff>
    </xdr:from>
    <xdr:to>
      <xdr:col>4</xdr:col>
      <xdr:colOff>5645</xdr:colOff>
      <xdr:row>6</xdr:row>
      <xdr:rowOff>1432818</xdr:rowOff>
    </xdr:to>
    <xdr:sp macro="" textlink="">
      <xdr:nvSpPr>
        <xdr:cNvPr id="6" name="Suorakulmio 20">
          <a:extLst>
            <a:ext uri="{FF2B5EF4-FFF2-40B4-BE49-F238E27FC236}">
              <a16:creationId xmlns:a16="http://schemas.microsoft.com/office/drawing/2014/main" id="{5C81FE65-4406-44CE-BF8B-910A36367E44}"/>
            </a:ext>
            <a:ext uri="{C183D7F6-B498-43B3-948B-1728B52AA6E4}">
              <adec:decorative xmlns:adec="http://schemas.microsoft.com/office/drawing/2017/decorative" val="1"/>
            </a:ext>
          </a:extLst>
        </xdr:cNvPr>
        <xdr:cNvSpPr/>
      </xdr:nvSpPr>
      <xdr:spPr>
        <a:xfrm>
          <a:off x="6243204" y="6355773"/>
          <a:ext cx="1209259" cy="74875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Täytä hakkuukone- välilehti</a:t>
          </a:r>
          <a:endParaRPr lang="fi-FI" sz="1100" b="1"/>
        </a:p>
      </xdr:txBody>
    </xdr:sp>
    <xdr:clientData/>
  </xdr:twoCellAnchor>
  <xdr:twoCellAnchor>
    <xdr:from>
      <xdr:col>3</xdr:col>
      <xdr:colOff>150</xdr:colOff>
      <xdr:row>6</xdr:row>
      <xdr:rowOff>1437410</xdr:rowOff>
    </xdr:from>
    <xdr:to>
      <xdr:col>3</xdr:col>
      <xdr:colOff>8659</xdr:colOff>
      <xdr:row>8</xdr:row>
      <xdr:rowOff>510887</xdr:rowOff>
    </xdr:to>
    <xdr:cxnSp macro="">
      <xdr:nvCxnSpPr>
        <xdr:cNvPr id="7" name="Suora nuoliyhdysviiva 30">
          <a:extLst>
            <a:ext uri="{FF2B5EF4-FFF2-40B4-BE49-F238E27FC236}">
              <a16:creationId xmlns:a16="http://schemas.microsoft.com/office/drawing/2014/main" id="{6FD37684-09B2-4997-8191-3991539C9DA4}"/>
            </a:ext>
            <a:ext uri="{C183D7F6-B498-43B3-948B-1728B52AA6E4}">
              <adec:decorative xmlns:adec="http://schemas.microsoft.com/office/drawing/2017/decorative" val="1"/>
            </a:ext>
          </a:extLst>
        </xdr:cNvPr>
        <xdr:cNvCxnSpPr>
          <a:endCxn id="8" idx="0"/>
        </xdr:cNvCxnSpPr>
      </xdr:nvCxnSpPr>
      <xdr:spPr>
        <a:xfrm flipH="1">
          <a:off x="6848625" y="8133485"/>
          <a:ext cx="8509" cy="288347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xdr:colOff>
      <xdr:row>8</xdr:row>
      <xdr:rowOff>510887</xdr:rowOff>
    </xdr:from>
    <xdr:to>
      <xdr:col>4</xdr:col>
      <xdr:colOff>300</xdr:colOff>
      <xdr:row>8</xdr:row>
      <xdr:rowOff>1256324</xdr:rowOff>
    </xdr:to>
    <xdr:sp macro="" textlink="">
      <xdr:nvSpPr>
        <xdr:cNvPr id="8" name="Suorakulmio 32">
          <a:extLst>
            <a:ext uri="{FF2B5EF4-FFF2-40B4-BE49-F238E27FC236}">
              <a16:creationId xmlns:a16="http://schemas.microsoft.com/office/drawing/2014/main" id="{0789B0DF-A41E-49A4-B6BD-B9A68C6C559C}"/>
            </a:ext>
            <a:ext uri="{C183D7F6-B498-43B3-948B-1728B52AA6E4}">
              <adec:decorative xmlns:adec="http://schemas.microsoft.com/office/drawing/2017/decorative" val="1"/>
            </a:ext>
          </a:extLst>
        </xdr:cNvPr>
        <xdr:cNvSpPr/>
      </xdr:nvSpPr>
      <xdr:spPr>
        <a:xfrm>
          <a:off x="6238876" y="11016962"/>
          <a:ext cx="1219499" cy="745437"/>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Täytä kuormatraktori- välilehti</a:t>
          </a:r>
          <a:endParaRPr lang="fi-FI" sz="1100" b="1"/>
        </a:p>
      </xdr:txBody>
    </xdr:sp>
    <xdr:clientData/>
  </xdr:twoCellAnchor>
  <xdr:twoCellAnchor>
    <xdr:from>
      <xdr:col>2</xdr:col>
      <xdr:colOff>597478</xdr:colOff>
      <xdr:row>8</xdr:row>
      <xdr:rowOff>1264227</xdr:rowOff>
    </xdr:from>
    <xdr:to>
      <xdr:col>2</xdr:col>
      <xdr:colOff>605384</xdr:colOff>
      <xdr:row>10</xdr:row>
      <xdr:rowOff>493568</xdr:rowOff>
    </xdr:to>
    <xdr:cxnSp macro="">
      <xdr:nvCxnSpPr>
        <xdr:cNvPr id="10" name="Suora nuoliyhdysviiva 54">
          <a:extLst>
            <a:ext uri="{FF2B5EF4-FFF2-40B4-BE49-F238E27FC236}">
              <a16:creationId xmlns:a16="http://schemas.microsoft.com/office/drawing/2014/main" id="{9AC34069-0C4C-45B3-AA4C-D7ABFBDDD0D8}"/>
            </a:ext>
            <a:ext uri="{C183D7F6-B498-43B3-948B-1728B52AA6E4}">
              <adec:decorative xmlns:adec="http://schemas.microsoft.com/office/drawing/2017/decorative" val="1"/>
            </a:ext>
          </a:extLst>
        </xdr:cNvPr>
        <xdr:cNvCxnSpPr/>
      </xdr:nvCxnSpPr>
      <xdr:spPr>
        <a:xfrm flipH="1">
          <a:off x="6832023" y="10243704"/>
          <a:ext cx="7906" cy="288347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10</xdr:row>
      <xdr:rowOff>493568</xdr:rowOff>
    </xdr:from>
    <xdr:to>
      <xdr:col>3</xdr:col>
      <xdr:colOff>603122</xdr:colOff>
      <xdr:row>10</xdr:row>
      <xdr:rowOff>1457664</xdr:rowOff>
    </xdr:to>
    <xdr:sp macro="" textlink="">
      <xdr:nvSpPr>
        <xdr:cNvPr id="12" name="Suorakulmio 57">
          <a:extLst>
            <a:ext uri="{FF2B5EF4-FFF2-40B4-BE49-F238E27FC236}">
              <a16:creationId xmlns:a16="http://schemas.microsoft.com/office/drawing/2014/main" id="{ACC094F1-1F8D-47A1-92A4-80F70BB8A6C7}"/>
            </a:ext>
            <a:ext uri="{C183D7F6-B498-43B3-948B-1728B52AA6E4}">
              <adec:decorative xmlns:adec="http://schemas.microsoft.com/office/drawing/2017/decorative" val="1"/>
            </a:ext>
          </a:extLst>
        </xdr:cNvPr>
        <xdr:cNvSpPr/>
      </xdr:nvSpPr>
      <xdr:spPr>
        <a:xfrm>
          <a:off x="6234545" y="13127182"/>
          <a:ext cx="1209259" cy="96409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Tee herkkyysanalyysi kustannus-rakenteeseen</a:t>
          </a:r>
          <a:endParaRPr lang="fi-FI" sz="1100" b="1"/>
        </a:p>
      </xdr:txBody>
    </xdr:sp>
    <xdr:clientData/>
  </xdr:twoCellAnchor>
  <xdr:twoCellAnchor>
    <xdr:from>
      <xdr:col>5</xdr:col>
      <xdr:colOff>6927</xdr:colOff>
      <xdr:row>4</xdr:row>
      <xdr:rowOff>503959</xdr:rowOff>
    </xdr:from>
    <xdr:to>
      <xdr:col>7</xdr:col>
      <xdr:colOff>567283</xdr:colOff>
      <xdr:row>4</xdr:row>
      <xdr:rowOff>1265959</xdr:rowOff>
    </xdr:to>
    <xdr:sp macro="" textlink="">
      <xdr:nvSpPr>
        <xdr:cNvPr id="14" name="Suorakulmio 42">
          <a:extLst>
            <a:ext uri="{FF2B5EF4-FFF2-40B4-BE49-F238E27FC236}">
              <a16:creationId xmlns:a16="http://schemas.microsoft.com/office/drawing/2014/main" id="{2D4A8A6B-4AFE-4F09-B311-A2FA5F8AAFAB}"/>
            </a:ext>
            <a:ext uri="{C183D7F6-B498-43B3-948B-1728B52AA6E4}">
              <adec:decorative xmlns:adec="http://schemas.microsoft.com/office/drawing/2017/decorative" val="1"/>
            </a:ext>
          </a:extLst>
        </xdr:cNvPr>
        <xdr:cNvSpPr/>
      </xdr:nvSpPr>
      <xdr:spPr>
        <a:xfrm>
          <a:off x="8074602" y="3609109"/>
          <a:ext cx="1779556" cy="7620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Tarkastele puunkorjuuketjun konekustannuslaskelmaa</a:t>
          </a:r>
          <a:endParaRPr lang="fi-FI" sz="1100" b="1"/>
        </a:p>
      </xdr:txBody>
    </xdr:sp>
    <xdr:clientData/>
  </xdr:twoCellAnchor>
  <xdr:twoCellAnchor>
    <xdr:from>
      <xdr:col>5</xdr:col>
      <xdr:colOff>0</xdr:colOff>
      <xdr:row>6</xdr:row>
      <xdr:rowOff>676275</xdr:rowOff>
    </xdr:from>
    <xdr:to>
      <xdr:col>7</xdr:col>
      <xdr:colOff>549965</xdr:colOff>
      <xdr:row>6</xdr:row>
      <xdr:rowOff>1420056</xdr:rowOff>
    </xdr:to>
    <xdr:sp macro="" textlink="">
      <xdr:nvSpPr>
        <xdr:cNvPr id="15" name="Suorakulmio 25">
          <a:extLst>
            <a:ext uri="{FF2B5EF4-FFF2-40B4-BE49-F238E27FC236}">
              <a16:creationId xmlns:a16="http://schemas.microsoft.com/office/drawing/2014/main" id="{8F854F49-BF5E-4332-98A6-BF950D65B3C1}"/>
            </a:ext>
            <a:ext uri="{C183D7F6-B498-43B3-948B-1728B52AA6E4}">
              <adec:decorative xmlns:adec="http://schemas.microsoft.com/office/drawing/2017/decorative" val="1"/>
            </a:ext>
          </a:extLst>
        </xdr:cNvPr>
        <xdr:cNvSpPr/>
      </xdr:nvSpPr>
      <xdr:spPr>
        <a:xfrm>
          <a:off x="8067675" y="6353175"/>
          <a:ext cx="1769165" cy="743781"/>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Tarkastele hakkuukoneen konekustannuslaskelmaa</a:t>
          </a:r>
          <a:endParaRPr lang="fi-FI" sz="1100" b="1"/>
        </a:p>
      </xdr:txBody>
    </xdr:sp>
    <xdr:clientData/>
  </xdr:twoCellAnchor>
  <xdr:twoCellAnchor>
    <xdr:from>
      <xdr:col>4</xdr:col>
      <xdr:colOff>600075</xdr:colOff>
      <xdr:row>8</xdr:row>
      <xdr:rowOff>495300</xdr:rowOff>
    </xdr:from>
    <xdr:to>
      <xdr:col>7</xdr:col>
      <xdr:colOff>540440</xdr:colOff>
      <xdr:row>8</xdr:row>
      <xdr:rowOff>1209264</xdr:rowOff>
    </xdr:to>
    <xdr:sp macro="" textlink="">
      <xdr:nvSpPr>
        <xdr:cNvPr id="16" name="Suorakulmio 35">
          <a:extLst>
            <a:ext uri="{FF2B5EF4-FFF2-40B4-BE49-F238E27FC236}">
              <a16:creationId xmlns:a16="http://schemas.microsoft.com/office/drawing/2014/main" id="{AEA37EF5-42BC-450D-B9F5-3D0019D1E746}"/>
            </a:ext>
            <a:ext uri="{C183D7F6-B498-43B3-948B-1728B52AA6E4}">
              <adec:decorative xmlns:adec="http://schemas.microsoft.com/office/drawing/2017/decorative" val="1"/>
            </a:ext>
          </a:extLst>
        </xdr:cNvPr>
        <xdr:cNvSpPr/>
      </xdr:nvSpPr>
      <xdr:spPr>
        <a:xfrm>
          <a:off x="8058150" y="9477375"/>
          <a:ext cx="1769165" cy="713964"/>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i-FI" sz="1100" b="1" baseline="0"/>
            <a:t>Tarkastele kuormatraktorin konekustannuslaskelmaa</a:t>
          </a:r>
          <a:endParaRPr lang="fi-FI" sz="1100" b="1"/>
        </a:p>
      </xdr:txBody>
    </xdr:sp>
    <xdr:clientData/>
  </xdr:twoCellAnchor>
  <xdr:twoCellAnchor>
    <xdr:from>
      <xdr:col>4</xdr:col>
      <xdr:colOff>0</xdr:colOff>
      <xdr:row>8</xdr:row>
      <xdr:rowOff>885825</xdr:rowOff>
    </xdr:from>
    <xdr:to>
      <xdr:col>5</xdr:col>
      <xdr:colOff>9941</xdr:colOff>
      <xdr:row>8</xdr:row>
      <xdr:rowOff>885825</xdr:rowOff>
    </xdr:to>
    <xdr:cxnSp macro="">
      <xdr:nvCxnSpPr>
        <xdr:cNvPr id="17" name="Suora nuoliyhdysviiva 36">
          <a:extLst>
            <a:ext uri="{FF2B5EF4-FFF2-40B4-BE49-F238E27FC236}">
              <a16:creationId xmlns:a16="http://schemas.microsoft.com/office/drawing/2014/main" id="{F629F6ED-0C13-4A4A-B143-71B94BCA4CF0}"/>
            </a:ext>
            <a:ext uri="{C183D7F6-B498-43B3-948B-1728B52AA6E4}">
              <adec:decorative xmlns:adec="http://schemas.microsoft.com/office/drawing/2017/decorative" val="1"/>
            </a:ext>
          </a:extLst>
        </xdr:cNvPr>
        <xdr:cNvCxnSpPr/>
      </xdr:nvCxnSpPr>
      <xdr:spPr>
        <a:xfrm>
          <a:off x="7458075" y="9867900"/>
          <a:ext cx="619541"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9525</xdr:colOff>
      <xdr:row>6</xdr:row>
      <xdr:rowOff>1048166</xdr:rowOff>
    </xdr:from>
    <xdr:to>
      <xdr:col>5</xdr:col>
      <xdr:colOff>0</xdr:colOff>
      <xdr:row>6</xdr:row>
      <xdr:rowOff>1054376</xdr:rowOff>
    </xdr:to>
    <xdr:cxnSp macro="">
      <xdr:nvCxnSpPr>
        <xdr:cNvPr id="18" name="Suora nuoliyhdysviiva 26">
          <a:extLst>
            <a:ext uri="{FF2B5EF4-FFF2-40B4-BE49-F238E27FC236}">
              <a16:creationId xmlns:a16="http://schemas.microsoft.com/office/drawing/2014/main" id="{DC114DB5-385B-42BE-8C6D-0AEE7D18BD6E}"/>
            </a:ext>
            <a:ext uri="{C183D7F6-B498-43B3-948B-1728B52AA6E4}">
              <adec:decorative xmlns:adec="http://schemas.microsoft.com/office/drawing/2017/decorative" val="1"/>
            </a:ext>
          </a:extLst>
        </xdr:cNvPr>
        <xdr:cNvCxnSpPr>
          <a:endCxn id="15" idx="1"/>
        </xdr:cNvCxnSpPr>
      </xdr:nvCxnSpPr>
      <xdr:spPr>
        <a:xfrm flipV="1">
          <a:off x="7467600" y="6725066"/>
          <a:ext cx="600075" cy="621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542923</xdr:colOff>
      <xdr:row>4</xdr:row>
      <xdr:rowOff>884960</xdr:rowOff>
    </xdr:from>
    <xdr:to>
      <xdr:col>7</xdr:col>
      <xdr:colOff>567282</xdr:colOff>
      <xdr:row>8</xdr:row>
      <xdr:rowOff>865537</xdr:rowOff>
    </xdr:to>
    <xdr:cxnSp macro="">
      <xdr:nvCxnSpPr>
        <xdr:cNvPr id="21" name="Yhdistin: Kulma 51">
          <a:extLst>
            <a:ext uri="{FF2B5EF4-FFF2-40B4-BE49-F238E27FC236}">
              <a16:creationId xmlns:a16="http://schemas.microsoft.com/office/drawing/2014/main" id="{CA91BCA4-9B30-477B-B3FA-F28514819DBD}"/>
            </a:ext>
            <a:ext uri="{C183D7F6-B498-43B3-948B-1728B52AA6E4}">
              <adec:decorative xmlns:adec="http://schemas.microsoft.com/office/drawing/2017/decorative" val="1"/>
            </a:ext>
          </a:extLst>
        </xdr:cNvPr>
        <xdr:cNvCxnSpPr>
          <a:endCxn id="14" idx="3"/>
        </xdr:cNvCxnSpPr>
      </xdr:nvCxnSpPr>
      <xdr:spPr>
        <a:xfrm rot="5400000" flipH="1" flipV="1">
          <a:off x="6913227" y="6906681"/>
          <a:ext cx="5857502" cy="24359"/>
        </a:xfrm>
        <a:prstGeom prst="bentConnector4">
          <a:avLst>
            <a:gd name="adj1" fmla="val 78"/>
            <a:gd name="adj2" fmla="val 1038462"/>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0</xdr:col>
      <xdr:colOff>5629274</xdr:colOff>
      <xdr:row>0</xdr:row>
      <xdr:rowOff>0</xdr:rowOff>
    </xdr:from>
    <xdr:to>
      <xdr:col>3</xdr:col>
      <xdr:colOff>267530</xdr:colOff>
      <xdr:row>0</xdr:row>
      <xdr:rowOff>1295400</xdr:rowOff>
    </xdr:to>
    <xdr:pic>
      <xdr:nvPicPr>
        <xdr:cNvPr id="11" name="Picture 10" descr="Itä-Suomen yliopiston logo">
          <a:extLst>
            <a:ext uri="{FF2B5EF4-FFF2-40B4-BE49-F238E27FC236}">
              <a16:creationId xmlns:a16="http://schemas.microsoft.com/office/drawing/2014/main" id="{AD689AB8-6DDB-0752-16B9-564F7D13C0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0"/>
          <a:ext cx="1486731" cy="1295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etu Dahl" id="{3CD5DD4E-B99E-429E-964D-D085BA813EE2}" userId="e8bbdfe5d8d55f0b" providerId="Windows Live"/>
  <person displayName="Simo Jaakkola" id="{DA65C6F3-18F3-4826-85D7-833CD8C52C92}" userId="S::simo.jaakkola@koneyrittajat.fi::eb7e7db9-0766-4694-8307-0c9e248bc3e9"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3-10-09T12:19:22.41" personId="{3CD5DD4E-B99E-429E-964D-D085BA813EE2}" id="{B937685A-2B0C-4B6C-9FCC-A79B932A651A}">
    <text>Täytä laskuriin, paljonko sinulla on sidottuna yrityksen omaa pääomaa laskennan kohteena olevaan koneketjuun tai yksittäiseen koneeseen. Älä täytä siis koko yrityksen omaa pääomaa tähän soluun.</text>
  </threadedComment>
  <threadedComment ref="G5" dT="2023-09-19T06:11:36.01" personId="{3CD5DD4E-B99E-429E-964D-D085BA813EE2}" id="{0B838B5D-A0D1-4DDB-AAC5-3A5EBFE21276}">
    <text>Tämä tulostuu automaattisesti solusta D14</text>
  </threadedComment>
  <threadedComment ref="B6" dT="2023-10-09T12:19:55.38" personId="{3CD5DD4E-B99E-429E-964D-D085BA813EE2}" id="{C77FB183-31FB-40A3-A0FB-06ED310DF58D}">
    <text>Täytä laskuriin, paljonko vaadit korkoa omalle pääomallesi</text>
  </threadedComment>
  <threadedComment ref="G6" dT="2023-09-19T06:12:25.65" personId="{3CD5DD4E-B99E-429E-964D-D085BA813EE2}" id="{C82F8561-377E-47BA-BF47-75D5A95A10CC}">
    <text>Tämä johdetaan hakkuukoneen laskennallisista käyttötunneista</text>
  </threadedComment>
  <threadedComment ref="B7" dT="2023-10-09T12:21:02.07" personId="{3CD5DD4E-B99E-429E-964D-D085BA813EE2}" id="{217216CD-0BA4-4D60-8E71-F285BE36E935}">
    <text>Täytä laskuriin, paljonko sinulla on sidottuna yrityksen vierasta pääomaa laskennan kohteena olevaan koneketjuun tai yksittäiseen koneeseen. Älä täytä siis koko yrityksen vierasta pääomaa tähän soluun. Vieras pääoma on yritykseen sijoitettua pääomaa, johon ei yleensä liity omistusoikeutta yrityksessä. Vieras pääoma on tavallisesti velkaa.</text>
  </threadedComment>
  <threadedComment ref="G7" dT="2023-10-09T13:05:02.44" personId="{3CD5DD4E-B99E-429E-964D-D085BA813EE2}" id="{480975C1-9084-43AA-B2B9-2426D44D1E9E}">
    <text>Tämä johdetaan kuormatraktorin laskennallisista käyttötunneista</text>
  </threadedComment>
  <threadedComment ref="B8" dT="2023-10-09T12:23:23.96" personId="{3CD5DD4E-B99E-429E-964D-D085BA813EE2}" id="{D38171D8-8B3F-411F-9DB4-851EADFCC0A1}">
    <text xml:space="preserve">Vieraan pääoman korko määritetään etukäteen lainaneuvotteluissa ja yritys on velvollinen maksamaan koron sopimuksen mukaisesti. </text>
  </threadedComment>
  <threadedComment ref="G8" dT="2023-09-19T06:12:25.65" personId="{3CD5DD4E-B99E-429E-964D-D085BA813EE2}" id="{24133B5C-BA4A-487E-A1CA-F6E6183D725D}">
    <text>Tämä johdetaan hakkuukoneen ja kuormatraktorin laskennallisista käyttötunneista</text>
  </threadedComment>
  <threadedComment ref="H10" dT="2023-10-09T13:08:08.97" personId="{3CD5DD4E-B99E-429E-964D-D085BA813EE2}" id="{6FB159CB-27F5-4B44-9863-68A29921D100}">
    <text>Tässä sarakkeessa kustannukset ovat suhteutettu hakkuukoneen ja metsätraktorin yhteisiin käyttötunteihin</text>
  </threadedComment>
  <threadedComment ref="B11" dT="2023-09-18T10:12:11.94" personId="{3CD5DD4E-B99E-429E-964D-D085BA813EE2}" id="{C211FA0E-F74F-4DBC-9FE1-4B0C1C89112C}">
    <text>Täytä korjuumäärät työmaalajeittain</text>
  </threadedComment>
  <threadedComment ref="B12" dT="2023-10-09T12:24:22.77" personId="{3CD5DD4E-B99E-429E-964D-D085BA813EE2}" id="{FF05E80C-2592-4CC3-B7BF-312E1480100A}">
    <text>Tähän sarakkeeseen täytä kaikkien muiden työlajien alla korjatut kuutiot kuin ensiharvennuksissa ja uudistushakkuissa korjatut kiintokuutiometrit</text>
  </threadedComment>
  <threadedComment ref="B14" dT="2023-09-18T10:12:41.89" personId="{3CD5DD4E-B99E-429E-964D-D085BA813EE2}" id="{A0125793-81D5-4E6F-8033-F59D6D444B11}">
    <text>Malli laskee korjuumäärät yhteen automaattisesti</text>
  </threadedComment>
  <threadedComment ref="B15" dT="2023-09-18T10:13:59.80" personId="{3CD5DD4E-B99E-429E-964D-D085BA813EE2}" id="{4F3F399E-8C01-4339-96F4-AF2C01B13DD2}">
    <text>Täytä työmaan keskikoko korjattuina kiintokuutioina</text>
  </threadedComment>
  <threadedComment ref="B16" dT="2023-09-18T10:15:25.12" personId="{3CD5DD4E-B99E-429E-964D-D085BA813EE2}" id="{95E8ACA3-79E2-4C24-A9BB-ACB1FD25BD2A}">
    <text>Malli laskee työmaiden määrän automaattisesti</text>
  </threadedComment>
  <threadedComment ref="B19" dT="2023-09-18T10:14:50.90" personId="{3CD5DD4E-B99E-429E-964D-D085BA813EE2}" id="{BDA94537-39AF-4793-AC6F-FD1A8DBA5BA9}">
    <text>Täytä yksikköhinnat manuaalisesti ja käytä yksikkökustannuksissa alvittomia hintoja (Alv 0 -%)</text>
  </threadedComment>
  <threadedComment ref="H48" dT="2023-10-25T08:45:25.32" personId="{3CD5DD4E-B99E-429E-964D-D085BA813EE2}" id="{215B9327-DB19-477E-AD91-99986D95032B}">
    <text>Huomaa, että tällä välilehdellä Hakkuukoneen ja kuormatraktorin kokonaiskustannukset (€/v) ovat suhteutettu pelkästään hakkuukoneen ja kuormatraktorin laskennallisiin käyttötunteihin yhteensä (Solu G8).</text>
  </threadedComment>
  <threadedComment ref="B54" dT="2023-09-18T10:18:18.08" personId="{3CD5DD4E-B99E-429E-964D-D085BA813EE2}" id="{407AECF7-6C48-4843-A831-80EF427AA1D0}">
    <text>Älä täytä kilometrikorvauksien määrää, mikäli työntekijät käyttävät puunkorjuuyrityksen autoja.</text>
  </threadedComment>
  <threadedComment ref="B55" dT="2023-10-09T12:26:02.88" personId="{3CD5DD4E-B99E-429E-964D-D085BA813EE2}" id="{E0EF946B-4ACC-4215-A566-A6CB50AE919C}">
    <text>Ateriakorvaus, korotettu ateriakorvaus sekä ylläpitokorvaus ovat kiinteitä ja muuttuvat yleensä noin vuoden sykleissä.</text>
  </threadedComment>
  <threadedComment ref="B60" dT="2023-10-09T12:29:43.21" personId="{3CD5DD4E-B99E-429E-964D-D085BA813EE2}" id="{CE0F5A87-7F91-4546-846C-A83B9ED77B81}">
    <text>Täytä hakkuukoneenkuljettajan sekä kuormatraktorinkuljettajan tuntipalkka</text>
  </threadedComment>
  <threadedComment ref="B62" dT="2023-10-09T12:31:24.74" personId="{3CD5DD4E-B99E-429E-964D-D085BA813EE2}" id="{D6BF7497-F6B4-4782-8B47-F84104622942}">
    <text>Pakollisten lisäkustannusten prosentti muodostuu esimerkiksi työeläkevakuutusmaksuista ja palkan maksuun sidotuista sivukuluista.</text>
  </threadedComment>
  <threadedComment ref="B63" dT="2023-09-18T10:18:48.32" personId="{3CD5DD4E-B99E-429E-964D-D085BA813EE2}" id="{7748B99F-515C-4536-ACBB-7519A9388A9E}">
    <text>Tällä tarkoitetaan kehityskustannuksia, työhyvinvointi-kustannuksia tai muita tämän kaltaisia kustannuksia per korjuuketju tai kone riippuen laskentatavasta.</text>
  </threadedComment>
  <threadedComment ref="B66" dT="2023-10-09T05:48:15.17" personId="{3CD5DD4E-B99E-429E-964D-D085BA813EE2}" id="{E8894C3D-789B-437D-9023-31A377D19717}">
    <text>Täytä koneen keskimääräinen siirtokustannus lavetilla yksikössä € / km</text>
  </threadedComment>
  <threadedComment ref="B67" dT="2023-10-09T05:48:55.04" personId="{3CD5DD4E-B99E-429E-964D-D085BA813EE2}" id="{97DAC86A-FA71-4367-B1D0-D61671F1E9EE}">
    <text>Täytä lavetilla ajetut kilometrit vuodessa</text>
  </threadedComment>
  <threadedComment ref="B68" dT="2023-10-09T05:49:49.96" personId="{3CD5DD4E-B99E-429E-964D-D085BA813EE2}" id="{92D15AAA-0B56-4B2B-ABA8-CC039D5BA899}">
    <text>Malli laskee yllä annettujen arvojen perusteella automaattisesti puunkorjuuketjun siirtokustannukset vuodessa</text>
  </threadedComment>
  <threadedComment ref="B69" dT="2023-10-09T05:50:30.57" personId="{3CD5DD4E-B99E-429E-964D-D085BA813EE2}" id="{8A912458-811F-4269-B15C-A861CF45A3D3}">
    <text>Täytä kaluston vakuutuskustannukset vuodessa</text>
  </threadedComment>
  <threadedComment ref="B70" dT="2023-10-09T05:51:29.67" personId="{3CD5DD4E-B99E-429E-964D-D085BA813EE2}" id="{9993DF62-C60B-4FA3-B06A-EE34757135FF}">
    <text>Täytä puunkorjuuketjun hallinto - ja työnjohtokustannukset euroa per korjuuketju per vuosi</text>
  </threadedComment>
  <threadedComment ref="B71" dT="2023-10-09T05:52:01.81" personId="{3CD5DD4E-B99E-429E-964D-D085BA813EE2}" id="{7E91B94A-C4DB-405C-8DCE-98B61634D2E5}">
    <text>Täytä markkinointi ja myyntikustannukset €/korjuuketju/v</text>
  </threadedComment>
  <threadedComment ref="B72" dT="2023-10-09T05:52:34.84" personId="{3CD5DD4E-B99E-429E-964D-D085BA813EE2}" id="{60BB754F-D6DB-40C2-90EA-43DE8AD2481E}">
    <text xml:space="preserve">Täytä vuosittaiset puunkorjuuketjun kiinteistökustannukset </text>
  </threadedComment>
  <threadedComment ref="B73" dT="2023-10-09T12:32:03.83" personId="{3CD5DD4E-B99E-429E-964D-D085BA813EE2}" id="{E6E6449A-D15B-43A2-919B-3DD093C4BD1F}">
    <text>Täytä arvio tarvike - ja työkalukuluista koneketjutasolla vuosittain</text>
  </threadedComment>
  <threadedComment ref="B74" dT="2023-10-09T12:32:52.45" personId="{3CD5DD4E-B99E-429E-964D-D085BA813EE2}" id="{4ADEF623-2D84-4DDF-8225-FA5C5747D5F4}">
    <text>Täytä sovellus ja tietotekniikkakulut vuositasolla puunkorjuuyrityksessä. Näitä ovat esimerkiksi Trimble, WoodForce, Puhelin ja dataliikenne, Office365 yms...</text>
  </threadedComment>
  <threadedComment ref="B75" dT="2023-09-18T10:22:07.26" personId="{3CD5DD4E-B99E-429E-964D-D085BA813EE2}" id="{56CDC936-E0C2-4C6F-90ED-A7ACA05130F0}">
    <text>Jyvitä puunkorjuuyrityksen ajoneuvoustannukset könttänä tälle riville, mikäli et maksa työntekijöille korvausta oman auton käytöstä</text>
  </threadedComment>
  <threadedComment ref="B76" dT="2023-10-09T12:33:44.89" personId="{3CD5DD4E-B99E-429E-964D-D085BA813EE2}" id="{29DB7565-6812-40AC-82BA-B9ADC52DB95F}">
    <text>Täytä muut puunkorjuuyrityksen kulut vuositasolla</text>
  </threadedComment>
  <threadedComment ref="B82" dT="2023-10-24T06:17:50.10" personId="{3CD5DD4E-B99E-429E-964D-D085BA813EE2}" id="{725A83EE-6ED9-401E-80E8-DBEF60B24A49}">
    <text>Syötä näihin soluihin laskemasi tai arvioimasi työlajikohtainen ja hakkuutapakohtainen tuntikustannus</text>
  </threadedComment>
  <threadedComment ref="C82" dT="2023-10-24T06:19:56.72" personId="{3CD5DD4E-B99E-429E-964D-D085BA813EE2}" id="{B6E7C0C3-1853-42D6-A171-C26CFEBD4060}">
    <text>Syötä näihin soluihin laskemasi tai arvioimasi työlajikohtainen ja metsäkuljetuskohtainen tuntikustannus</text>
  </threadedComment>
  <threadedComment ref="B83" dT="2023-10-24T06:18:34.56" personId="{3CD5DD4E-B99E-429E-964D-D085BA813EE2}" id="{F43819E9-9D1D-4F0F-876E-0485A6DA1F77}">
    <text>Syötä näihin soluihin laskemasi tai arvioimasi työlajikohtainen ja hakkuutapakohtainen tuntikustannus</text>
  </threadedComment>
  <threadedComment ref="C83" dT="2023-10-24T06:20:11.88" personId="{3CD5DD4E-B99E-429E-964D-D085BA813EE2}" id="{29A675F7-8EDE-4F05-88FB-E5C3F3F13A7C}">
    <text>Syötä näihin soluihin laskemasi tai arvioimasi työlajikohtainen ja hakkuutapakohtainen tuntikustannus</text>
  </threadedComment>
  <threadedComment ref="B84" dT="2023-10-24T06:19:34.27" personId="{3CD5DD4E-B99E-429E-964D-D085BA813EE2}" id="{F89EDB68-74EF-43F1-8A99-E8927760FE69}">
    <text>Syötä näihin soluihin laskemasi tai arvioimasi työlajikohtainen ja hakkuutapakohtainen tuntikustannus.</text>
  </threadedComment>
  <threadedComment ref="C84" dT="2023-10-24T06:20:18.46" personId="{3CD5DD4E-B99E-429E-964D-D085BA813EE2}" id="{9193BB35-60DF-41EE-A823-C18BC5EF01FA}">
    <text>Syötä näihin soluihin laskemasi tai arvioimasi työlajikohtainen ja hakkuutapakohtainen tuntikustannus</text>
  </threadedComment>
</ThreadedComments>
</file>

<file path=xl/threadedComments/threadedComment2.xml><?xml version="1.0" encoding="utf-8"?>
<ThreadedComments xmlns="http://schemas.microsoft.com/office/spreadsheetml/2018/threadedcomments" xmlns:x="http://schemas.openxmlformats.org/spreadsheetml/2006/main">
  <threadedComment ref="B6" dT="2023-10-09T12:41:43.77" personId="{3CD5DD4E-B99E-429E-964D-D085BA813EE2}" id="{FEB5C19B-91C6-4A89-BD08-7B7031BD2D6C}">
    <text>Täytä hakkuukoneen hankintahinta. Viitearvoksi on asetettu uuden koneen hankintahinta.</text>
  </threadedComment>
  <threadedComment ref="B7" dT="2023-10-09T12:42:31.87" personId="{3CD5DD4E-B99E-429E-964D-D085BA813EE2}" id="{94E9DE9D-E3DE-4293-BB71-8EF21C65632C}">
    <text>Täytä hakkuukoneen pitoaika. Uudella koneella pitoaika on pidempi ja vanhalla todennäköisesti pienempi.</text>
  </threadedComment>
  <threadedComment ref="B8" dT="2023-10-09T12:43:25.22" personId="{3CD5DD4E-B99E-429E-964D-D085BA813EE2}" id="{791851B3-BE3F-4A5F-AEE4-84F91CA13BF0}">
    <text>Täytä koneen vuosittainen arvonalenema. Mikäli et tiedä prosentuaalista lukua, voit käyttää laskennassa viitearvoa syöttämällä soluun luvun nolla.</text>
  </threadedComment>
  <threadedComment ref="H9" dT="2023-10-09T13:08:08.97" personId="{3CD5DD4E-B99E-429E-964D-D085BA813EE2}" id="{661DC985-D27C-431F-8E99-80503008ACB2}">
    <text>Tässä sarakkeessa kustannukset ovat suhteutettu hakkuukoneen ja metsätraktorin yhteisiin käyttötunteihin</text>
  </threadedComment>
  <threadedComment ref="B12" dT="2023-09-18T10:22:52.14" personId="{3CD5DD4E-B99E-429E-964D-D085BA813EE2}" id="{989A1C70-160E-42E1-9A02-91495E53A7F3}">
    <text>Lisää hakkuukoneen tuottavuudet eri hakkuutyömailla</text>
  </threadedComment>
  <threadedComment ref="B15" dT="2023-10-09T12:49:28.83" personId="{3CD5DD4E-B99E-429E-964D-D085BA813EE2}" id="{3B098C76-F75E-4BFD-B1B9-AC32A0033BE1}">
    <text>Täytä hakkuukoneen käyttöaste. Käyttöaste tulee syöttää prosentteina ja sen tulee vastata siihen kysymykseen, että kuinka monta käyttötuntia saadaan yhdellä työtunnilla</text>
  </threadedComment>
  <threadedComment ref="B18" dT="2023-10-09T12:50:37.84" personId="{3CD5DD4E-B99E-429E-964D-D085BA813EE2}" id="{7C50A6C7-D749-4CE8-B416-1CB863036859}">
    <text>Tämä johdetaan käyttöasteesta, vuosittaisesta hakkuumäärästä sekä käyttäjän syöttämistä tuottavuuksista.</text>
  </threadedComment>
  <threadedComment ref="B19" dT="2023-10-09T12:51:25.70" personId="{3CD5DD4E-B99E-429E-964D-D085BA813EE2}" id="{60FFCC9C-A4D9-4F27-96CA-9D0856A726CB}">
    <text>Tämä on laskennallinen arvo ja johdetaan käyttötuntimäärästä sekä käyttöasteesta.</text>
  </threadedComment>
  <threadedComment ref="H32" dT="2023-10-25T08:42:11.01" personId="{3CD5DD4E-B99E-429E-964D-D085BA813EE2}" id="{D931B7C2-D2E6-4B03-91B2-EEBBF8307069}">
    <text>Huomaa, että tällä välilehdellä Hakkuukoneen kokonaiskustannukset (€/v) ovat suhteutettu pelkästään hakkuukoneen laskennallisiin käyttötunteihin. (Solu G7)</text>
  </threadedComment>
  <threadedComment ref="B38" dT="2023-10-09T12:52:08.21" personId="{3CD5DD4E-B99E-429E-964D-D085BA813EE2}" id="{548C8434-09F2-4342-9AA4-5FA7EF70FAC3}">
    <text>Syötä lukema, kuinka monelta kilometriltä maksat työntekijälle kilometrikorvausta vuodessa.</text>
  </threadedComment>
  <threadedComment ref="B39" dT="2023-10-02T19:46:08.42" personId="{DA65C6F3-18F3-4826-85D7-833CD8C52C92}" id="{867068B5-B2C3-4AE5-B8EC-D971AA3B279D}">
    <text xml:space="preserve">Huom! Muista huomioida, jos koneella työskentelee kaksi henkilöä, niin ateriakorvaus maksettaneen molemmille kuljettajille eli 2 kpl/vrk
 </text>
  </threadedComment>
  <threadedComment ref="B40" dT="2023-10-09T12:52:39.51" personId="{3CD5DD4E-B99E-429E-964D-D085BA813EE2}" id="{DD09164E-4538-4FBC-8BCF-93AFF690F9D8}">
    <text>Täytä arvio korotettujen ateriakorvauskertojen määrästä vuodessa.</text>
  </threadedComment>
  <threadedComment ref="B41" dT="2023-10-09T12:53:16.19" personId="{3CD5DD4E-B99E-429E-964D-D085BA813EE2}" id="{131DEB47-3296-4696-9A88-39313F7A5EF5}">
    <text>Täytä arvio ylläpitokorvauksien määrästä vuodessa</text>
  </threadedComment>
  <threadedComment ref="B44" dT="2023-10-09T12:53:46.41" personId="{3CD5DD4E-B99E-429E-964D-D085BA813EE2}" id="{50AA728F-70DA-4525-8828-B3A21653B44E}">
    <text>Täytä koneen polttoaineenkulutus käyttötuntia kohti</text>
  </threadedComment>
  <threadedComment ref="B45" dT="2023-10-09T12:54:06.26" personId="{3CD5DD4E-B99E-429E-964D-D085BA813EE2}" id="{7CC9F78F-5B8D-4954-A8EE-8E1567BB73D7}">
    <text>Täytä koneen AdBluen kulutus käyttötuntia kohti</text>
  </threadedComment>
  <threadedComment ref="B46" dT="2023-10-09T12:54:26.40" personId="{3CD5DD4E-B99E-429E-964D-D085BA813EE2}" id="{2829CC78-D6BA-44BF-A191-83CCC21FCB2B}">
    <text>Täytä koneen teräketjuöljyjen kulutus käyttötuntia kohti</text>
  </threadedComment>
  <threadedComment ref="B47" dT="2023-10-09T12:55:14.90" personId="{3CD5DD4E-B99E-429E-964D-D085BA813EE2}" id="{479AED81-1E8C-4200-8A74-6D22D453B626}">
    <text>Täytä arvio siitä, kuinka monta tuntia yksi laippa kestää hakkuukoneessa, apulaskuri laskee arvon sille, kuinka monta laippaa kuluu vuosittain koneessa.</text>
  </threadedComment>
  <threadedComment ref="B49" dT="2023-10-09T12:55:57.51" personId="{3CD5DD4E-B99E-429E-964D-D085BA813EE2}" id="{3B08A884-AC31-4176-AF4A-51F6BAB5D8E6}">
    <text>Täytä arvio siitä, kuinka monta tuntia yksi teräketju kestää hakkuukoneessa, apulaskuri laskee arvon sille, kuinka monta teräketjua kuluu vuosittain koneessa.</text>
  </threadedComment>
  <threadedComment ref="B51" dT="2023-10-09T12:56:29.09" personId="{3CD5DD4E-B99E-429E-964D-D085BA813EE2}" id="{A3AD1D6F-7031-4234-9EE5-1854DF7B148C}">
    <text>Täytä koneen kantokäsittelyaineen kulutus käyttötuntia kohti</text>
  </threadedComment>
  <threadedComment ref="B54" dT="2023-10-09T12:57:16.18" personId="{3CD5DD4E-B99E-429E-964D-D085BA813EE2}" id="{607F9F87-AC60-4D86-A486-8A11474A27B0}">
    <text>Täytä arvio vuosittaisesta ja konekohtaisesta huolto ja korjauskustannuksista</text>
  </threadedComment>
  <threadedComment ref="B57" dT="2023-10-09T12:57:51.66" personId="{3CD5DD4E-B99E-429E-964D-D085BA813EE2}" id="{72356CD8-5508-4D70-B3AD-16BF2D876E70}">
    <text>Täytä muut vuosittaiset kustannukset vuositasolla</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3-10-09T12:58:24.93" personId="{3CD5DD4E-B99E-429E-964D-D085BA813EE2}" id="{D3CAFA4A-D1BA-4489-9922-72DFE99CB287}">
    <text>Täytä kuormatraktorin hankintahinta</text>
  </threadedComment>
  <threadedComment ref="B7" dT="2023-10-09T12:58:39.11" personId="{3CD5DD4E-B99E-429E-964D-D085BA813EE2}" id="{1D5998FC-BFA2-4B3B-BC3A-7E07C3B0139D}">
    <text>Täytä kuormatraktorin pitoaika</text>
  </threadedComment>
  <threadedComment ref="B8" dT="2023-10-09T12:58:55.18" personId="{3CD5DD4E-B99E-429E-964D-D085BA813EE2}" id="{AACC7FC3-FCA0-4E85-9F50-F4F691A5F17A}">
    <text>Täytä kuormatraktorin vuosittainen arvonalenema laskuriin</text>
  </threadedComment>
  <threadedComment ref="H9" dT="2023-10-09T13:08:08.97" personId="{3CD5DD4E-B99E-429E-964D-D085BA813EE2}" id="{CB0C4364-B2B2-4433-8EC5-2E78ECD9F886}">
    <text>Tässä sarakkeessa kustannukset ovat suhteutettu hakkuukoneen ja metsätraktorin yhteisiin käyttötunteihin</text>
  </threadedComment>
  <threadedComment ref="B12" dT="2023-10-09T12:59:40.66" personId="{3CD5DD4E-B99E-429E-964D-D085BA813EE2}" id="{5AFF25EE-BFEC-4E30-B8AD-D217D655AD0F}">
    <text>Lisää kuormatraktorin tuottavuudet eri hakkuutyömailla</text>
  </threadedComment>
  <threadedComment ref="B15" dT="2023-10-09T13:00:16.24" personId="{3CD5DD4E-B99E-429E-964D-D085BA813EE2}" id="{C534E59E-E100-4C50-8F94-11F01AC752F8}">
    <text>Täytä kuormatraktorin käyttöaste. Käyttöaste tulee syöttää prosentteina ja sen tulee vastata siihen kysymykseen, että kuinka monta käyttötuntia saadaan yhdellä työtunnilla</text>
  </threadedComment>
  <threadedComment ref="H30" dT="2023-10-25T08:43:20.18" personId="{3CD5DD4E-B99E-429E-964D-D085BA813EE2}" id="{F432D2F8-64E8-4268-82C6-CDD9D37EE119}">
    <text>Huomaa, että tällä välilehdellä Kuormatraktorin kokonaiskustannukset €/v ovat suhteutettu pelkästään kuormatraktorin laskennallisiin käyttötunteihin. (Solu G7)</text>
  </threadedComment>
  <threadedComment ref="B38" dT="2023-10-09T13:01:02.06" personId="{3CD5DD4E-B99E-429E-964D-D085BA813EE2}" id="{137CFB66-808D-4259-ADC4-2FD14D95CA41}">
    <text>Syötä lukema, kuinka monelta kilometriltä maksat työntekijälle kilometrikorvausta vuodessa.</text>
  </threadedComment>
  <threadedComment ref="B39" dT="2023-10-09T12:40:56.02" personId="{3CD5DD4E-B99E-429E-964D-D085BA813EE2}" id="{67CF82FE-BC44-45EF-82D3-3F2C5F246EED}">
    <text>Huom! Muista huomioida, jos koneella työskentelee kaksi henkilöä, niin ateriakorvaus maksettaneen molemmille kuljettajille eli 2 kpl/vrk</text>
  </threadedComment>
  <threadedComment ref="B40" dT="2023-10-09T13:01:18.14" personId="{3CD5DD4E-B99E-429E-964D-D085BA813EE2}" id="{88D97A3A-D5B9-4A22-BC04-909CE990EFB3}">
    <text>Täytä arvio korotettujen ateriakorvauskertojen määrästä vuodessa.</text>
  </threadedComment>
  <threadedComment ref="B41" dT="2023-10-09T13:01:31.07" personId="{3CD5DD4E-B99E-429E-964D-D085BA813EE2}" id="{04DB5AB5-78D5-4169-8646-364EB4FFC34E}">
    <text>Täytä arvio ylläpitokorvauksien määrästä vuodessa</text>
  </threadedComment>
  <threadedComment ref="B44" dT="2023-10-09T13:01:49.15" personId="{3CD5DD4E-B99E-429E-964D-D085BA813EE2}" id="{02D9F27D-3481-423E-8FD9-38F0896A9195}">
    <text>Täytä koneen polttoaineenkulutus käyttötuntia kohti</text>
  </threadedComment>
  <threadedComment ref="B45" dT="2023-10-09T13:02:05.09" personId="{3CD5DD4E-B99E-429E-964D-D085BA813EE2}" id="{C027CBFE-9F5C-428A-AEF7-7627720FF6DC}">
    <text>Täytä koneen AdBluen kulutus käyttötuntia kohti</text>
  </threadedComment>
  <threadedComment ref="B48" dT="2023-10-09T13:02:25.03" personId="{3CD5DD4E-B99E-429E-964D-D085BA813EE2}" id="{41E15B78-0C25-496C-B541-FB21FA541060}">
    <text>Täytä arvio vuosittaisesta ja konekohtaisesta huolto- ja korjauskustannuksista</text>
  </threadedComment>
  <threadedComment ref="B51" dT="2023-10-09T13:02:45.99" personId="{3CD5DD4E-B99E-429E-964D-D085BA813EE2}" id="{A0DC4068-EAAA-424F-BAFB-D9D6758D2EC3}">
    <text>Täytä muut vuosittaiset kustannukset vuositasolla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3A61-A44E-4983-88F4-833FAF3FF99E}">
  <dimension ref="A1:B11"/>
  <sheetViews>
    <sheetView showGridLines="0" tabSelected="1" zoomScaleNormal="100" workbookViewId="0"/>
  </sheetViews>
  <sheetFormatPr defaultRowHeight="14.5" x14ac:dyDescent="0.35"/>
  <cols>
    <col min="1" max="1" width="84.453125" style="42" customWidth="1"/>
  </cols>
  <sheetData>
    <row r="1" spans="1:2" s="181" customFormat="1" ht="108.75" customHeight="1" x14ac:dyDescent="0.55000000000000004">
      <c r="A1" s="180" t="s">
        <v>168</v>
      </c>
    </row>
    <row r="2" spans="1:2" s="43" customFormat="1" ht="32.25" customHeight="1" x14ac:dyDescent="0.35">
      <c r="A2" s="182" t="s">
        <v>0</v>
      </c>
      <c r="B2" s="44"/>
    </row>
    <row r="3" spans="1:2" ht="186" x14ac:dyDescent="0.35">
      <c r="A3" s="45" t="s">
        <v>163</v>
      </c>
      <c r="B3" s="46"/>
    </row>
    <row r="4" spans="1:2" s="43" customFormat="1" ht="39" customHeight="1" x14ac:dyDescent="0.35">
      <c r="A4" s="182" t="s">
        <v>108</v>
      </c>
      <c r="B4" s="44"/>
    </row>
    <row r="5" spans="1:2" ht="189" customHeight="1" x14ac:dyDescent="0.35">
      <c r="A5" s="45" t="s">
        <v>164</v>
      </c>
      <c r="B5" s="46"/>
    </row>
    <row r="6" spans="1:2" s="43" customFormat="1" ht="37.5" customHeight="1" x14ac:dyDescent="0.35">
      <c r="A6" s="182" t="s">
        <v>109</v>
      </c>
      <c r="B6" s="44"/>
    </row>
    <row r="7" spans="1:2" ht="264.75" customHeight="1" x14ac:dyDescent="0.35">
      <c r="A7" s="45" t="s">
        <v>165</v>
      </c>
      <c r="B7" s="46"/>
    </row>
    <row r="8" spans="1:2" s="43" customFormat="1" ht="39" customHeight="1" x14ac:dyDescent="0.35">
      <c r="A8" s="182" t="s">
        <v>110</v>
      </c>
      <c r="B8" s="44"/>
    </row>
    <row r="9" spans="1:2" ht="300" customHeight="1" x14ac:dyDescent="0.35">
      <c r="A9" s="45" t="s">
        <v>166</v>
      </c>
      <c r="B9" s="46"/>
    </row>
    <row r="10" spans="1:2" s="43" customFormat="1" ht="39" customHeight="1" x14ac:dyDescent="0.35">
      <c r="A10" s="182" t="s">
        <v>111</v>
      </c>
      <c r="B10" s="44"/>
    </row>
    <row r="11" spans="1:2" ht="187.5" customHeight="1" x14ac:dyDescent="0.35">
      <c r="A11" s="45" t="s">
        <v>167</v>
      </c>
      <c r="B11" s="4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667C5-B31C-194B-9123-20B0C5CDB2AA}">
  <dimension ref="A1:P92"/>
  <sheetViews>
    <sheetView zoomScaleNormal="100" workbookViewId="0">
      <selection activeCell="F84" sqref="F84"/>
    </sheetView>
  </sheetViews>
  <sheetFormatPr defaultColWidth="11.453125" defaultRowHeight="14.5" x14ac:dyDescent="0.35"/>
  <cols>
    <col min="1" max="1" width="47.1796875" style="3" customWidth="1"/>
    <col min="2" max="2" width="11.453125" style="3" customWidth="1"/>
    <col min="3" max="3" width="14.1796875" style="3" customWidth="1"/>
    <col min="4" max="4" width="19.1796875" style="3" customWidth="1"/>
    <col min="5" max="5" width="9" style="3" customWidth="1"/>
    <col min="6" max="6" width="50" style="3" bestFit="1" customWidth="1"/>
    <col min="7" max="7" width="12.453125" style="3" customWidth="1"/>
    <col min="8" max="8" width="8.54296875" style="3" customWidth="1"/>
    <col min="9" max="9" width="7.453125" style="3" customWidth="1"/>
    <col min="10" max="11" width="11.453125" style="3"/>
    <col min="12" max="12" width="51.1796875" style="3" customWidth="1"/>
    <col min="13" max="16384" width="11.453125" style="3"/>
  </cols>
  <sheetData>
    <row r="1" spans="1:16" s="5" customFormat="1" ht="18.5" x14ac:dyDescent="0.45">
      <c r="A1" s="6" t="s">
        <v>112</v>
      </c>
    </row>
    <row r="2" spans="1:16" s="11" customFormat="1" ht="15.5" x14ac:dyDescent="0.35">
      <c r="A2" s="10" t="s">
        <v>106</v>
      </c>
    </row>
    <row r="3" spans="1:16" s="9" customFormat="1" ht="15.5" x14ac:dyDescent="0.35">
      <c r="A3" s="8"/>
    </row>
    <row r="4" spans="1:16" ht="15.5" x14ac:dyDescent="0.35">
      <c r="A4" s="7" t="s">
        <v>2</v>
      </c>
      <c r="B4" s="7" t="s">
        <v>3</v>
      </c>
      <c r="C4" s="7" t="s">
        <v>4</v>
      </c>
      <c r="D4" s="7" t="s">
        <v>96</v>
      </c>
      <c r="F4" s="8" t="s">
        <v>156</v>
      </c>
    </row>
    <row r="5" spans="1:16" ht="15.5" x14ac:dyDescent="0.35">
      <c r="A5" s="21" t="s">
        <v>113</v>
      </c>
      <c r="B5" s="47"/>
      <c r="C5" s="48">
        <v>100000</v>
      </c>
      <c r="D5" s="49">
        <f>IF(B5="",0,IF(B5=0,C5, IF(B5&gt;0,B5,0)))</f>
        <v>0</v>
      </c>
      <c r="F5" s="21" t="s">
        <v>5</v>
      </c>
      <c r="G5" s="59">
        <f>D14</f>
        <v>0</v>
      </c>
      <c r="H5" s="21" t="s">
        <v>6</v>
      </c>
    </row>
    <row r="6" spans="1:16" ht="15.5" x14ac:dyDescent="0.35">
      <c r="A6" s="21" t="s">
        <v>7</v>
      </c>
      <c r="B6" s="50"/>
      <c r="C6" s="51">
        <v>3</v>
      </c>
      <c r="D6" s="52">
        <f t="shared" ref="D6:D8" si="0">IF(B6="",0,IF(B6=0,C6, IF(B6&gt;0,B6,0)))</f>
        <v>0</v>
      </c>
      <c r="F6" s="21" t="s">
        <v>93</v>
      </c>
      <c r="G6" s="59">
        <f>Hakkuukone!$G$7</f>
        <v>0</v>
      </c>
      <c r="H6" s="21" t="s">
        <v>9</v>
      </c>
    </row>
    <row r="7" spans="1:16" ht="15.5" x14ac:dyDescent="0.35">
      <c r="A7" s="21" t="s">
        <v>114</v>
      </c>
      <c r="B7" s="47"/>
      <c r="C7" s="48">
        <v>500000</v>
      </c>
      <c r="D7" s="49">
        <f t="shared" si="0"/>
        <v>0</v>
      </c>
      <c r="F7" s="21" t="s">
        <v>94</v>
      </c>
      <c r="G7" s="59">
        <f>Kuormatraktori!G7</f>
        <v>0</v>
      </c>
      <c r="H7" s="21" t="s">
        <v>9</v>
      </c>
    </row>
    <row r="8" spans="1:16" ht="15.5" x14ac:dyDescent="0.35">
      <c r="A8" s="21" t="s">
        <v>10</v>
      </c>
      <c r="B8" s="50"/>
      <c r="C8" s="48">
        <v>5</v>
      </c>
      <c r="D8" s="52">
        <f t="shared" si="0"/>
        <v>0</v>
      </c>
      <c r="F8" s="7" t="s">
        <v>24</v>
      </c>
      <c r="G8" s="60">
        <f>SUM(G6:G7)</f>
        <v>0</v>
      </c>
      <c r="H8" s="21" t="s">
        <v>9</v>
      </c>
    </row>
    <row r="9" spans="1:16" ht="16.399999999999999" customHeight="1" x14ac:dyDescent="0.35">
      <c r="K9" s="24"/>
    </row>
    <row r="10" spans="1:16" ht="15.5" x14ac:dyDescent="0.35">
      <c r="A10" s="7" t="s">
        <v>115</v>
      </c>
      <c r="B10" s="7" t="s">
        <v>3</v>
      </c>
      <c r="C10" s="7" t="s">
        <v>4</v>
      </c>
      <c r="D10" s="7" t="s">
        <v>96</v>
      </c>
      <c r="F10" s="7" t="s">
        <v>160</v>
      </c>
      <c r="G10" s="7" t="s">
        <v>12</v>
      </c>
      <c r="H10" s="7" t="s">
        <v>13</v>
      </c>
      <c r="I10" s="7" t="s">
        <v>14</v>
      </c>
      <c r="J10" s="61" t="s">
        <v>15</v>
      </c>
      <c r="K10" s="24"/>
    </row>
    <row r="11" spans="1:16" ht="15.5" x14ac:dyDescent="0.35">
      <c r="A11" s="21" t="s">
        <v>99</v>
      </c>
      <c r="B11" s="47"/>
      <c r="C11" s="48">
        <v>5000</v>
      </c>
      <c r="D11" s="49">
        <f>IF(B11="",0,IF(B11=0,C11, IF(B11&gt;0,B11,0)))</f>
        <v>0</v>
      </c>
      <c r="F11" s="21" t="s">
        <v>16</v>
      </c>
      <c r="G11" s="59">
        <f>($D$5*(($D$6)/100))+(($D$7*($D$8)/100))</f>
        <v>0</v>
      </c>
      <c r="H11" s="62">
        <f>IFERROR(G11/$G$8,0)</f>
        <v>0</v>
      </c>
      <c r="I11" s="62">
        <f>IFERROR(G11/$G$5,0)</f>
        <v>0</v>
      </c>
      <c r="J11" s="63">
        <f>IFERROR(+G11/$G$48*100,0)</f>
        <v>0</v>
      </c>
      <c r="K11" s="24"/>
      <c r="L11" s="19"/>
      <c r="M11" s="19"/>
      <c r="N11" s="19"/>
      <c r="O11" s="19"/>
      <c r="P11" s="19"/>
    </row>
    <row r="12" spans="1:16" ht="15.5" x14ac:dyDescent="0.35">
      <c r="A12" s="21" t="s">
        <v>100</v>
      </c>
      <c r="B12" s="47"/>
      <c r="C12" s="48">
        <v>13000</v>
      </c>
      <c r="D12" s="49">
        <f t="shared" ref="D12:D15" si="1">IF(B12="",0,IF(B12=0,C12, IF(B12&gt;0,B12,0)))</f>
        <v>0</v>
      </c>
      <c r="F12" s="64" t="s">
        <v>18</v>
      </c>
      <c r="G12" s="59">
        <f>$D$69</f>
        <v>0</v>
      </c>
      <c r="H12" s="62">
        <f t="shared" ref="H12:H15" si="2">IFERROR(G12/$G$8,0)</f>
        <v>0</v>
      </c>
      <c r="I12" s="62">
        <f t="shared" ref="I12:I15" si="3">IFERROR(G12/$G$5,0)</f>
        <v>0</v>
      </c>
      <c r="J12" s="63">
        <f t="shared" ref="J12:J15" si="4">IFERROR(+G12/$G$48*100,0)</f>
        <v>0</v>
      </c>
      <c r="K12" s="24"/>
      <c r="L12" s="19"/>
      <c r="M12" s="19"/>
      <c r="N12" s="19"/>
      <c r="O12" s="19"/>
      <c r="P12" s="19"/>
    </row>
    <row r="13" spans="1:16" ht="15.5" x14ac:dyDescent="0.35">
      <c r="A13" s="21" t="s">
        <v>19</v>
      </c>
      <c r="B13" s="47"/>
      <c r="C13" s="48">
        <v>16000</v>
      </c>
      <c r="D13" s="49">
        <f t="shared" si="1"/>
        <v>0</v>
      </c>
      <c r="F13" s="64" t="s">
        <v>20</v>
      </c>
      <c r="G13" s="59">
        <f>$D$70</f>
        <v>0</v>
      </c>
      <c r="H13" s="62">
        <f t="shared" si="2"/>
        <v>0</v>
      </c>
      <c r="I13" s="62">
        <f t="shared" si="3"/>
        <v>0</v>
      </c>
      <c r="J13" s="63">
        <f t="shared" si="4"/>
        <v>0</v>
      </c>
      <c r="K13" s="24"/>
      <c r="L13" s="19"/>
      <c r="M13" s="19"/>
      <c r="N13" s="19"/>
      <c r="O13" s="19"/>
      <c r="P13" s="19"/>
    </row>
    <row r="14" spans="1:16" ht="15.5" x14ac:dyDescent="0.35">
      <c r="A14" s="21" t="s">
        <v>21</v>
      </c>
      <c r="B14" s="48" t="str">
        <f>IF(B11+B12+B13=0,"",B11+B12+B13)</f>
        <v/>
      </c>
      <c r="C14" s="48">
        <v>35000</v>
      </c>
      <c r="D14" s="49">
        <f>IF(B14="",0,IF(B14=0,C14, IF(B14&gt;0,B14,0)))</f>
        <v>0</v>
      </c>
      <c r="F14" s="64" t="s">
        <v>22</v>
      </c>
      <c r="G14" s="59">
        <f>SUM($D$72,$D$73,$D$71,$D$74:$D$76)</f>
        <v>0</v>
      </c>
      <c r="H14" s="62">
        <f t="shared" si="2"/>
        <v>0</v>
      </c>
      <c r="I14" s="62">
        <f t="shared" si="3"/>
        <v>0</v>
      </c>
      <c r="J14" s="63">
        <f t="shared" si="4"/>
        <v>0</v>
      </c>
      <c r="K14" s="24"/>
      <c r="L14" s="19"/>
      <c r="M14" s="19"/>
      <c r="N14" s="19"/>
      <c r="O14" s="19"/>
      <c r="P14" s="19"/>
    </row>
    <row r="15" spans="1:16" ht="15.5" x14ac:dyDescent="0.35">
      <c r="A15" s="21" t="s">
        <v>23</v>
      </c>
      <c r="B15" s="47"/>
      <c r="C15" s="48">
        <v>600</v>
      </c>
      <c r="D15" s="49">
        <f t="shared" si="1"/>
        <v>0</v>
      </c>
      <c r="F15" s="21" t="s">
        <v>95</v>
      </c>
      <c r="G15" s="59">
        <f>$D$63</f>
        <v>0</v>
      </c>
      <c r="H15" s="62">
        <f t="shared" si="2"/>
        <v>0</v>
      </c>
      <c r="I15" s="62">
        <f t="shared" si="3"/>
        <v>0</v>
      </c>
      <c r="J15" s="63">
        <f t="shared" si="4"/>
        <v>0</v>
      </c>
      <c r="K15" s="24"/>
      <c r="L15" s="19"/>
      <c r="M15" s="19"/>
      <c r="N15" s="19"/>
      <c r="O15" s="19"/>
      <c r="P15" s="19"/>
    </row>
    <row r="16" spans="1:16" ht="15.5" x14ac:dyDescent="0.35">
      <c r="A16" s="21" t="s">
        <v>25</v>
      </c>
      <c r="B16" s="48" t="str">
        <f>IFERROR(B14/B15,"")</f>
        <v/>
      </c>
      <c r="C16" s="48">
        <v>200</v>
      </c>
      <c r="D16" s="49">
        <f>IF(B16="",0,IF(B16=0,C16, IF(B16&gt;0,B16,0)))</f>
        <v>0</v>
      </c>
      <c r="F16" s="65" t="s">
        <v>44</v>
      </c>
      <c r="G16" s="66">
        <f>SUM(G11:G15)</f>
        <v>0</v>
      </c>
      <c r="H16" s="67">
        <f>IFERROR(G16/$G$8,0)</f>
        <v>0</v>
      </c>
      <c r="I16" s="67">
        <f>IFERROR(G16/$G$5,0)</f>
        <v>0</v>
      </c>
      <c r="J16" s="68">
        <f>IFERROR(+G16/$G$48*100,0)</f>
        <v>0</v>
      </c>
      <c r="K16" s="24"/>
      <c r="L16" s="19"/>
      <c r="M16" s="19"/>
      <c r="N16" s="19"/>
      <c r="O16" s="19"/>
      <c r="P16" s="19"/>
    </row>
    <row r="17" spans="1:12" ht="15.5" x14ac:dyDescent="0.35">
      <c r="F17" s="69" t="s">
        <v>89</v>
      </c>
      <c r="G17" s="70"/>
      <c r="H17" s="71"/>
      <c r="I17" s="71"/>
      <c r="J17" s="72"/>
      <c r="K17" s="24"/>
    </row>
    <row r="18" spans="1:12" ht="15.5" x14ac:dyDescent="0.35">
      <c r="A18" s="7" t="s">
        <v>28</v>
      </c>
      <c r="B18" s="7" t="s">
        <v>3</v>
      </c>
      <c r="C18" s="7" t="s">
        <v>4</v>
      </c>
      <c r="D18" s="7" t="s">
        <v>96</v>
      </c>
      <c r="F18" s="73" t="s">
        <v>88</v>
      </c>
      <c r="G18" s="59">
        <f>IFERROR((Hakkuukone!$D$6-Hakkuukone!$D$9)/Hakkuukone!$D$7,0)</f>
        <v>0</v>
      </c>
      <c r="H18" s="62">
        <f>IFERROR(G18/$G$8, 0)</f>
        <v>0</v>
      </c>
      <c r="I18" s="62">
        <f>IFERROR(G18/$G$5,0)</f>
        <v>0</v>
      </c>
      <c r="J18" s="63">
        <f>IFERROR(+G18/$G$48*100,0)</f>
        <v>0</v>
      </c>
      <c r="L18" s="30"/>
    </row>
    <row r="19" spans="1:12" ht="15.5" x14ac:dyDescent="0.35">
      <c r="A19" s="21" t="s">
        <v>116</v>
      </c>
      <c r="B19" s="53"/>
      <c r="C19" s="54">
        <v>1.55</v>
      </c>
      <c r="D19" s="55">
        <f>IF(B19="",0,IF(B19=0,C19, IF(B19&gt;0,B19,0)))</f>
        <v>0</v>
      </c>
      <c r="F19" s="74" t="s">
        <v>17</v>
      </c>
      <c r="G19" s="59">
        <f>IFERROR(Hakkuukone!$D$19*Korjuuketju!$D$60*(1+(Korjuuketju!$D$62/100))+(Hakkuukone!$D$38*Korjuuketju!$D$54+Hakkuukone!$D$39*Korjuuketju!$D$55+Hakkuukone!$D$40*Korjuuketju!$D$56+Hakkuukone!$D$41*Korjuuketju!$D$57),0)</f>
        <v>0</v>
      </c>
      <c r="H19" s="62">
        <f>IFERROR(G19/$G$8, 0)</f>
        <v>0</v>
      </c>
      <c r="I19" s="62">
        <f>IFERROR(G19/$G$5,0)</f>
        <v>0</v>
      </c>
      <c r="J19" s="63">
        <f>IFERROR(+G19/$G$48*100,0)</f>
        <v>0</v>
      </c>
      <c r="K19" s="24"/>
      <c r="L19" s="30"/>
    </row>
    <row r="20" spans="1:12" ht="15.5" x14ac:dyDescent="0.35">
      <c r="A20" s="21" t="s">
        <v>117</v>
      </c>
      <c r="B20" s="53"/>
      <c r="C20" s="54">
        <v>100</v>
      </c>
      <c r="D20" s="55">
        <f t="shared" ref="D20:D22" si="5">IF(B20="",0,IF(B20=0,C20, IF(B20&gt;0,B20,0)))</f>
        <v>0</v>
      </c>
      <c r="F20" s="75" t="s">
        <v>44</v>
      </c>
      <c r="G20" s="76">
        <f>SUM(G18:G19)</f>
        <v>0</v>
      </c>
      <c r="H20" s="77">
        <f>IFERROR(G20/$G$8,0)</f>
        <v>0</v>
      </c>
      <c r="I20" s="77">
        <f>IFERROR(G20/$G$5,0)</f>
        <v>0</v>
      </c>
      <c r="J20" s="78">
        <f>IFERROR(+G20/$G$48*100,0)</f>
        <v>0</v>
      </c>
      <c r="K20" s="24"/>
    </row>
    <row r="21" spans="1:12" ht="15.5" x14ac:dyDescent="0.35">
      <c r="A21" s="21" t="s">
        <v>118</v>
      </c>
      <c r="B21" s="53"/>
      <c r="C21" s="54">
        <v>17</v>
      </c>
      <c r="D21" s="55">
        <f t="shared" si="5"/>
        <v>0</v>
      </c>
      <c r="F21" s="69" t="s">
        <v>90</v>
      </c>
      <c r="G21" s="70"/>
      <c r="H21" s="71"/>
      <c r="I21" s="71"/>
      <c r="J21" s="72"/>
      <c r="K21" s="24"/>
    </row>
    <row r="22" spans="1:12" ht="15.5" x14ac:dyDescent="0.35">
      <c r="A22" s="21" t="s">
        <v>119</v>
      </c>
      <c r="B22" s="53"/>
      <c r="C22" s="54">
        <v>3.3</v>
      </c>
      <c r="D22" s="55">
        <f t="shared" si="5"/>
        <v>0</v>
      </c>
      <c r="F22" s="73" t="s">
        <v>88</v>
      </c>
      <c r="G22" s="59">
        <f>IFERROR(((Kuormatraktori!$D$6-Kuormatraktori!$D$9)/Kuormatraktori!$D$7), 0)</f>
        <v>0</v>
      </c>
      <c r="H22" s="62">
        <f>IFERROR(G22/$G$8,0)</f>
        <v>0</v>
      </c>
      <c r="I22" s="62">
        <f>IFERROR(G22/$G$5,0)</f>
        <v>0</v>
      </c>
      <c r="J22" s="63">
        <f>IFERROR(+G22/$G$48*100,0)</f>
        <v>0</v>
      </c>
      <c r="K22" s="24"/>
    </row>
    <row r="23" spans="1:12" ht="15.5" x14ac:dyDescent="0.35">
      <c r="A23" s="21" t="s">
        <v>121</v>
      </c>
      <c r="B23" s="56"/>
      <c r="C23" s="57">
        <v>1.35</v>
      </c>
      <c r="D23" s="58">
        <f>IF(B23="",0,IF(B23=0,C23, IF(B23&gt;0,B23,0)))</f>
        <v>0</v>
      </c>
      <c r="F23" s="74" t="s">
        <v>17</v>
      </c>
      <c r="G23" s="59">
        <f>IFERROR((Kuormatraktori!$D$19*Korjuuketju!$D$61*(1+(Korjuuketju!$D$62/100))+(Kuormatraktori!$D$38*Korjuuketju!$D$54+Kuormatraktori!$D$39*Korjuuketju!$D$55+Kuormatraktori!$D$40*Korjuuketju!$D$56+Kuormatraktori!$D$41*Korjuuketju!$D$57)), 0)</f>
        <v>0</v>
      </c>
      <c r="H23" s="62">
        <f>IFERROR(G23/$G$8,0)</f>
        <v>0</v>
      </c>
      <c r="I23" s="62">
        <f>IFERROR(G23/$G$5,0)</f>
        <v>0</v>
      </c>
      <c r="J23" s="63">
        <f>IFERROR(+G23/$G$48*100,0)</f>
        <v>0</v>
      </c>
      <c r="K23" s="24"/>
    </row>
    <row r="24" spans="1:12" ht="15.5" x14ac:dyDescent="0.35">
      <c r="A24" s="21" t="s">
        <v>120</v>
      </c>
      <c r="B24" s="53"/>
      <c r="C24" s="54">
        <v>1.3</v>
      </c>
      <c r="D24" s="55">
        <f>IF(B24="",0,IF(B24=0,C24, IF(B24&gt;0,B24,0)))</f>
        <v>0</v>
      </c>
      <c r="F24" s="75" t="s">
        <v>44</v>
      </c>
      <c r="G24" s="76">
        <f>SUM(G22:G23)</f>
        <v>0</v>
      </c>
      <c r="H24" s="78">
        <f>IFERROR(G24/$G$8,0)</f>
        <v>0</v>
      </c>
      <c r="I24" s="78">
        <f>IFERROR(G24/$G$5,0)</f>
        <v>0</v>
      </c>
      <c r="J24" s="78">
        <f>IFERROR(+G24/$G$48*100,0)</f>
        <v>0</v>
      </c>
      <c r="K24" s="24"/>
    </row>
    <row r="25" spans="1:12" ht="15.5" x14ac:dyDescent="0.35">
      <c r="F25" s="21"/>
      <c r="G25" s="79"/>
      <c r="H25" s="21"/>
      <c r="I25" s="21"/>
      <c r="J25" s="21"/>
      <c r="K25" s="24"/>
    </row>
    <row r="26" spans="1:12" ht="15.5" x14ac:dyDescent="0.35">
      <c r="A26" s="38"/>
      <c r="B26" s="38"/>
      <c r="C26" s="38"/>
      <c r="D26" s="38"/>
      <c r="F26" s="7" t="s">
        <v>101</v>
      </c>
      <c r="G26" s="76">
        <f>SUM(G24,G20,G11:G15)</f>
        <v>0</v>
      </c>
      <c r="H26" s="78">
        <f>SUM(H24,H20,H11:H15)</f>
        <v>0</v>
      </c>
      <c r="I26" s="78">
        <f>SUM(I24,I20,I16)</f>
        <v>0</v>
      </c>
      <c r="J26" s="78">
        <f>SUM(J24,J20,J16)</f>
        <v>0</v>
      </c>
      <c r="K26" s="24"/>
    </row>
    <row r="27" spans="1:12" ht="15.5" x14ac:dyDescent="0.35">
      <c r="A27" s="39"/>
      <c r="B27" s="40"/>
      <c r="C27" s="40"/>
      <c r="D27" s="40"/>
      <c r="F27" s="7"/>
      <c r="G27" s="80"/>
      <c r="H27" s="81"/>
      <c r="I27" s="81"/>
      <c r="J27" s="80"/>
      <c r="K27" s="24"/>
    </row>
    <row r="28" spans="1:12" ht="15.5" x14ac:dyDescent="0.35">
      <c r="A28" s="39"/>
      <c r="B28" s="40"/>
      <c r="C28" s="40"/>
      <c r="D28" s="40"/>
      <c r="F28" s="82" t="s">
        <v>91</v>
      </c>
      <c r="G28" s="7" t="s">
        <v>12</v>
      </c>
      <c r="H28" s="7" t="s">
        <v>13</v>
      </c>
      <c r="I28" s="7" t="s">
        <v>14</v>
      </c>
      <c r="J28" s="61" t="s">
        <v>92</v>
      </c>
      <c r="K28" s="24"/>
    </row>
    <row r="29" spans="1:12" ht="15.5" x14ac:dyDescent="0.35">
      <c r="A29" s="41"/>
      <c r="B29" s="40"/>
      <c r="C29" s="40"/>
      <c r="D29" s="40"/>
      <c r="F29" s="69" t="s">
        <v>89</v>
      </c>
      <c r="G29" s="21"/>
      <c r="H29" s="21"/>
      <c r="I29" s="21"/>
      <c r="J29" s="83"/>
      <c r="K29" s="24"/>
    </row>
    <row r="30" spans="1:12" ht="15.5" x14ac:dyDescent="0.35">
      <c r="F30" s="73" t="s">
        <v>27</v>
      </c>
      <c r="G30" s="59">
        <f>(Korjuuketju!D19*Hakkuukone!$D$44)*Hakkuukone!$D$18</f>
        <v>0</v>
      </c>
      <c r="H30" s="63">
        <f>IFERROR(G30/$G$8,0)</f>
        <v>0</v>
      </c>
      <c r="I30" s="63">
        <f>IFERROR(G30/$G$5,0)</f>
        <v>0</v>
      </c>
      <c r="J30" s="63">
        <f>IFERROR(+G30/$G$48*100,0)</f>
        <v>0</v>
      </c>
      <c r="L30" s="30"/>
    </row>
    <row r="31" spans="1:12" ht="15.5" x14ac:dyDescent="0.35">
      <c r="F31" s="74" t="s">
        <v>134</v>
      </c>
      <c r="G31" s="59">
        <f>IFERROR((Korjuuketju!$D$23*Hakkuukone!$D$45)*Hakkuukone!$D$18,0)</f>
        <v>0</v>
      </c>
      <c r="H31" s="63">
        <f t="shared" ref="H31" si="6">IFERROR(G31/$G$8,0)</f>
        <v>0</v>
      </c>
      <c r="I31" s="63">
        <f t="shared" ref="I31:I36" si="7">IFERROR(G31/$G$5,0)</f>
        <v>0</v>
      </c>
      <c r="J31" s="63">
        <f t="shared" ref="J31:J36" si="8">IFERROR(+G31/$G$48*100,0)</f>
        <v>0</v>
      </c>
      <c r="L31" s="30"/>
    </row>
    <row r="32" spans="1:12" ht="15.5" x14ac:dyDescent="0.35">
      <c r="F32" s="73" t="s">
        <v>135</v>
      </c>
      <c r="G32" s="59">
        <f>IFERROR(Hakkuukone!$B$54,0)</f>
        <v>0</v>
      </c>
      <c r="H32" s="63">
        <f t="shared" ref="H32" si="9">IFERROR(G32/$G$8,0)</f>
        <v>0</v>
      </c>
      <c r="I32" s="63">
        <f t="shared" si="7"/>
        <v>0</v>
      </c>
      <c r="J32" s="63">
        <f t="shared" si="8"/>
        <v>0</v>
      </c>
      <c r="L32" s="30"/>
    </row>
    <row r="33" spans="6:12" ht="15.5" x14ac:dyDescent="0.35">
      <c r="F33" s="73" t="s">
        <v>29</v>
      </c>
      <c r="G33" s="59">
        <f>IFERROR(((Hakkuukone!$D$46*Korjuuketju!D22)*Hakkuukone!$D$18)+(Hakkuukone!$D$48*Korjuuketju!$D$20)+((Hakkuukone!$D$50*Korjuuketju!$D$21)),0)</f>
        <v>0</v>
      </c>
      <c r="H33" s="63">
        <f t="shared" ref="H33" si="10">IFERROR(G33/$G$8,0)</f>
        <v>0</v>
      </c>
      <c r="I33" s="63">
        <f t="shared" si="7"/>
        <v>0</v>
      </c>
      <c r="J33" s="63">
        <f t="shared" si="8"/>
        <v>0</v>
      </c>
      <c r="L33" s="30"/>
    </row>
    <row r="34" spans="6:12" ht="15.5" x14ac:dyDescent="0.35">
      <c r="F34" s="73" t="s">
        <v>59</v>
      </c>
      <c r="G34" s="59">
        <f>IFERROR((Hakkuukone!$D$51*Korjuuketju!$D$24)*Hakkuukone!$D$18,0)</f>
        <v>0</v>
      </c>
      <c r="H34" s="63">
        <f t="shared" ref="H34" si="11">IFERROR(G34/$G$8,0)</f>
        <v>0</v>
      </c>
      <c r="I34" s="63">
        <f t="shared" si="7"/>
        <v>0</v>
      </c>
      <c r="J34" s="63">
        <f t="shared" si="8"/>
        <v>0</v>
      </c>
      <c r="L34" s="30"/>
    </row>
    <row r="35" spans="6:12" ht="15.5" x14ac:dyDescent="0.35">
      <c r="F35" s="73" t="s">
        <v>30</v>
      </c>
      <c r="G35" s="59">
        <f>IF(Hakkuukone!$D$6=0,0,Korjuuketju!$D$68/2)</f>
        <v>0</v>
      </c>
      <c r="H35" s="63">
        <f t="shared" ref="H35" si="12">IFERROR(G35/$G$8,0)</f>
        <v>0</v>
      </c>
      <c r="I35" s="63">
        <f t="shared" si="7"/>
        <v>0</v>
      </c>
      <c r="J35" s="63">
        <f t="shared" si="8"/>
        <v>0</v>
      </c>
    </row>
    <row r="36" spans="6:12" ht="15.5" x14ac:dyDescent="0.35">
      <c r="F36" s="84" t="s">
        <v>31</v>
      </c>
      <c r="G36" s="59">
        <f>Hakkuukone!$D$57</f>
        <v>0</v>
      </c>
      <c r="H36" s="63">
        <f t="shared" ref="H36" si="13">IFERROR(G36/$G$8,0)</f>
        <v>0</v>
      </c>
      <c r="I36" s="63">
        <f t="shared" si="7"/>
        <v>0</v>
      </c>
      <c r="J36" s="63">
        <f t="shared" si="8"/>
        <v>0</v>
      </c>
    </row>
    <row r="37" spans="6:12" ht="15.5" x14ac:dyDescent="0.35">
      <c r="F37" s="75" t="s">
        <v>44</v>
      </c>
      <c r="G37" s="76">
        <f>SUM(G30:G36)</f>
        <v>0</v>
      </c>
      <c r="H37" s="78">
        <f>IFERROR(G37/$G$8,0)</f>
        <v>0</v>
      </c>
      <c r="I37" s="78">
        <f>IFERROR(G37/$G$5,0)</f>
        <v>0</v>
      </c>
      <c r="J37" s="78">
        <f>IFERROR(+G37/$G$48*100,0)</f>
        <v>0</v>
      </c>
    </row>
    <row r="38" spans="6:12" ht="15.5" x14ac:dyDescent="0.35">
      <c r="F38" s="69" t="s">
        <v>90</v>
      </c>
      <c r="G38" s="79"/>
      <c r="H38" s="85"/>
      <c r="I38" s="85"/>
      <c r="J38" s="85"/>
    </row>
    <row r="39" spans="6:12" ht="15.5" x14ac:dyDescent="0.35">
      <c r="F39" s="73" t="s">
        <v>27</v>
      </c>
      <c r="G39" s="59">
        <f>Kuormatraktori!$D$44*Korjuuketju!$D$19*Kuormatraktori!$D$18</f>
        <v>0</v>
      </c>
      <c r="H39" s="63">
        <f>IFERROR(G39/$G$8,0)</f>
        <v>0</v>
      </c>
      <c r="I39" s="63">
        <f>IFERROR(G39/$G$8,0)</f>
        <v>0</v>
      </c>
      <c r="J39" s="63">
        <f>IFERROR(+G39/$G$48*100,0)</f>
        <v>0</v>
      </c>
    </row>
    <row r="40" spans="6:12" ht="15.5" x14ac:dyDescent="0.35">
      <c r="F40" s="74" t="s">
        <v>134</v>
      </c>
      <c r="G40" s="59">
        <f>Kuormatraktori!$D$45*Kuormatraktori!$D$18*Korjuuketju!$D$23</f>
        <v>0</v>
      </c>
      <c r="H40" s="63">
        <f t="shared" ref="H40" si="14">IFERROR(G40/$G$8,0)</f>
        <v>0</v>
      </c>
      <c r="I40" s="63">
        <f t="shared" ref="I40:I43" si="15">IFERROR(G40/$G$8,0)</f>
        <v>0</v>
      </c>
      <c r="J40" s="63">
        <f t="shared" ref="J40:J43" si="16">IFERROR(+G40/$G$48*100,0)</f>
        <v>0</v>
      </c>
    </row>
    <row r="41" spans="6:12" ht="15.5" x14ac:dyDescent="0.35">
      <c r="F41" s="74" t="s">
        <v>135</v>
      </c>
      <c r="G41" s="59">
        <f>Kuormatraktori!$D$48</f>
        <v>0</v>
      </c>
      <c r="H41" s="63">
        <f t="shared" ref="H41" si="17">IFERROR(G41/$G$8,0)</f>
        <v>0</v>
      </c>
      <c r="I41" s="63">
        <f t="shared" si="15"/>
        <v>0</v>
      </c>
      <c r="J41" s="63">
        <f t="shared" si="16"/>
        <v>0</v>
      </c>
    </row>
    <row r="42" spans="6:12" ht="15.5" x14ac:dyDescent="0.35">
      <c r="F42" s="73" t="s">
        <v>30</v>
      </c>
      <c r="G42" s="59">
        <f>Kuormatraktori!G26</f>
        <v>0</v>
      </c>
      <c r="H42" s="63">
        <f t="shared" ref="H42" si="18">IFERROR(G42/$G$8,0)</f>
        <v>0</v>
      </c>
      <c r="I42" s="63">
        <f t="shared" si="15"/>
        <v>0</v>
      </c>
      <c r="J42" s="63">
        <f t="shared" si="16"/>
        <v>0</v>
      </c>
    </row>
    <row r="43" spans="6:12" ht="15.5" x14ac:dyDescent="0.35">
      <c r="F43" s="84" t="s">
        <v>31</v>
      </c>
      <c r="G43" s="59">
        <f>Kuormatraktori!$D$51</f>
        <v>0</v>
      </c>
      <c r="H43" s="63">
        <f t="shared" ref="H43" si="19">IFERROR(G43/$G$8,0)</f>
        <v>0</v>
      </c>
      <c r="I43" s="63">
        <f t="shared" si="15"/>
        <v>0</v>
      </c>
      <c r="J43" s="63">
        <f t="shared" si="16"/>
        <v>0</v>
      </c>
    </row>
    <row r="44" spans="6:12" ht="15.5" x14ac:dyDescent="0.35">
      <c r="F44" s="75" t="s">
        <v>44</v>
      </c>
      <c r="G44" s="76">
        <f>SUM(G39:G43)</f>
        <v>0</v>
      </c>
      <c r="H44" s="78">
        <f>IFERROR(G44/$G$8,0)</f>
        <v>0</v>
      </c>
      <c r="I44" s="86">
        <f>IFERROR(G44/$G$5,0)</f>
        <v>0</v>
      </c>
      <c r="J44" s="78">
        <f>IFERROR(+G44/$G$48*100,0)</f>
        <v>0</v>
      </c>
    </row>
    <row r="45" spans="6:12" ht="15.5" x14ac:dyDescent="0.35">
      <c r="F45" s="87"/>
      <c r="G45" s="60"/>
      <c r="H45" s="81"/>
      <c r="I45" s="81"/>
      <c r="J45" s="81"/>
    </row>
    <row r="46" spans="6:12" ht="15.5" x14ac:dyDescent="0.35">
      <c r="F46" s="7" t="s">
        <v>102</v>
      </c>
      <c r="G46" s="76">
        <f>SUM(G44,G37)</f>
        <v>0</v>
      </c>
      <c r="H46" s="78">
        <f>SUM(H44,H37)</f>
        <v>0</v>
      </c>
      <c r="I46" s="86">
        <f>SUM(I44,I37)</f>
        <v>0</v>
      </c>
      <c r="J46" s="78">
        <f>SUM(J44,J37)</f>
        <v>0</v>
      </c>
    </row>
    <row r="47" spans="6:12" ht="16" thickBot="1" x14ac:dyDescent="0.4">
      <c r="F47" s="21"/>
      <c r="G47" s="79"/>
      <c r="H47" s="21"/>
      <c r="I47" s="21"/>
      <c r="J47" s="21"/>
    </row>
    <row r="48" spans="6:12" ht="15" customHeight="1" thickBot="1" x14ac:dyDescent="0.4">
      <c r="F48" s="7" t="s">
        <v>103</v>
      </c>
      <c r="G48" s="88">
        <f>G26+G46</f>
        <v>0</v>
      </c>
      <c r="H48" s="89">
        <f>H26+H46</f>
        <v>0</v>
      </c>
      <c r="I48" s="89">
        <f>I26+I46</f>
        <v>0</v>
      </c>
      <c r="J48" s="89">
        <f>J26+J46</f>
        <v>0</v>
      </c>
    </row>
    <row r="49" spans="1:10" x14ac:dyDescent="0.35">
      <c r="F49" s="1"/>
      <c r="G49" s="26"/>
      <c r="H49" s="26"/>
      <c r="I49" s="26"/>
      <c r="J49" s="27"/>
    </row>
    <row r="50" spans="1:10" s="11" customFormat="1" ht="15.5" x14ac:dyDescent="0.35">
      <c r="A50" s="10" t="s">
        <v>32</v>
      </c>
    </row>
    <row r="51" spans="1:10" s="17" customFormat="1" ht="15.5" x14ac:dyDescent="0.35">
      <c r="A51" s="10" t="s">
        <v>144</v>
      </c>
    </row>
    <row r="52" spans="1:10" ht="15.5" x14ac:dyDescent="0.35">
      <c r="A52" s="8"/>
    </row>
    <row r="53" spans="1:10" ht="15.5" x14ac:dyDescent="0.35">
      <c r="A53" s="7" t="s">
        <v>33</v>
      </c>
      <c r="B53" s="7" t="s">
        <v>3</v>
      </c>
      <c r="C53" s="7" t="s">
        <v>4</v>
      </c>
      <c r="D53" s="7" t="s">
        <v>96</v>
      </c>
    </row>
    <row r="54" spans="1:10" ht="15.5" x14ac:dyDescent="0.35">
      <c r="A54" s="21" t="s">
        <v>122</v>
      </c>
      <c r="B54" s="53"/>
      <c r="C54" s="54">
        <v>0.53</v>
      </c>
      <c r="D54" s="55">
        <f>IF(B54="",0,IF(B54=0,C54, IF(B54&gt;0,B54,0)))</f>
        <v>0</v>
      </c>
    </row>
    <row r="55" spans="1:10" ht="15.5" x14ac:dyDescent="0.35">
      <c r="A55" s="21" t="s">
        <v>123</v>
      </c>
      <c r="B55" s="53"/>
      <c r="C55" s="54">
        <v>12</v>
      </c>
      <c r="D55" s="55">
        <f t="shared" ref="D55:D57" si="20">IF(B55="",0,IF(B55=0,C55, IF(B55&gt;0,B55,0)))</f>
        <v>0</v>
      </c>
      <c r="G55" s="14"/>
    </row>
    <row r="56" spans="1:10" ht="15.5" x14ac:dyDescent="0.35">
      <c r="A56" s="21" t="s">
        <v>124</v>
      </c>
      <c r="B56" s="53"/>
      <c r="C56" s="54">
        <v>21.05</v>
      </c>
      <c r="D56" s="55">
        <f t="shared" si="20"/>
        <v>0</v>
      </c>
    </row>
    <row r="57" spans="1:10" ht="15.5" x14ac:dyDescent="0.35">
      <c r="A57" s="21" t="s">
        <v>125</v>
      </c>
      <c r="B57" s="53"/>
      <c r="C57" s="54">
        <v>39.5</v>
      </c>
      <c r="D57" s="55">
        <f t="shared" si="20"/>
        <v>0</v>
      </c>
    </row>
    <row r="58" spans="1:10" ht="15.5" x14ac:dyDescent="0.35">
      <c r="A58" s="21"/>
      <c r="B58" s="21"/>
      <c r="C58" s="21"/>
      <c r="D58" s="21"/>
    </row>
    <row r="59" spans="1:10" ht="15.5" x14ac:dyDescent="0.35">
      <c r="A59" s="7" t="s">
        <v>34</v>
      </c>
      <c r="B59" s="7" t="s">
        <v>3</v>
      </c>
      <c r="C59" s="7" t="s">
        <v>4</v>
      </c>
      <c r="D59" s="7" t="s">
        <v>96</v>
      </c>
    </row>
    <row r="60" spans="1:10" ht="15.5" x14ac:dyDescent="0.35">
      <c r="A60" s="90" t="s">
        <v>126</v>
      </c>
      <c r="B60" s="53"/>
      <c r="C60" s="54">
        <v>17.5</v>
      </c>
      <c r="D60" s="55">
        <f>IF(B60="",0,IF(B60=0,C60, IF(B60&gt;0,B60,0)))</f>
        <v>0</v>
      </c>
    </row>
    <row r="61" spans="1:10" ht="15.5" x14ac:dyDescent="0.35">
      <c r="A61" s="90" t="s">
        <v>127</v>
      </c>
      <c r="B61" s="50"/>
      <c r="C61" s="51">
        <v>15.5</v>
      </c>
      <c r="D61" s="55">
        <f t="shared" ref="D61:D63" si="21">IF(B61="",0,IF(B61=0,C61, IF(B61&gt;0,B61,0)))</f>
        <v>0</v>
      </c>
    </row>
    <row r="62" spans="1:10" ht="15.5" x14ac:dyDescent="0.35">
      <c r="A62" s="21" t="s">
        <v>35</v>
      </c>
      <c r="B62" s="47"/>
      <c r="C62" s="48">
        <v>55</v>
      </c>
      <c r="D62" s="55">
        <f t="shared" si="21"/>
        <v>0</v>
      </c>
    </row>
    <row r="63" spans="1:10" ht="15.5" x14ac:dyDescent="0.35">
      <c r="A63" s="21" t="s">
        <v>129</v>
      </c>
      <c r="B63" s="47"/>
      <c r="C63" s="48">
        <v>2400</v>
      </c>
      <c r="D63" s="55">
        <f t="shared" si="21"/>
        <v>0</v>
      </c>
    </row>
    <row r="64" spans="1:10" ht="15.5" x14ac:dyDescent="0.35">
      <c r="A64" s="21"/>
      <c r="B64" s="21"/>
      <c r="C64" s="21"/>
      <c r="D64" s="21"/>
    </row>
    <row r="65" spans="1:4" ht="15.5" x14ac:dyDescent="0.35">
      <c r="A65" s="7" t="s">
        <v>22</v>
      </c>
      <c r="B65" s="7" t="s">
        <v>3</v>
      </c>
      <c r="C65" s="7" t="s">
        <v>4</v>
      </c>
      <c r="D65" s="7" t="s">
        <v>96</v>
      </c>
    </row>
    <row r="66" spans="1:4" ht="15.5" x14ac:dyDescent="0.35">
      <c r="A66" s="21" t="s">
        <v>128</v>
      </c>
      <c r="B66" s="50"/>
      <c r="C66" s="51">
        <v>2.2000000000000002</v>
      </c>
      <c r="D66" s="52">
        <f>IF(B66="",0,IF(B66=0,C66, IF(B66&gt;0,B66,0)))</f>
        <v>0</v>
      </c>
    </row>
    <row r="67" spans="1:4" ht="15.5" x14ac:dyDescent="0.35">
      <c r="A67" s="21" t="s">
        <v>36</v>
      </c>
      <c r="B67" s="50"/>
      <c r="C67" s="51">
        <v>10000</v>
      </c>
      <c r="D67" s="52">
        <f t="shared" ref="D67:D76" si="22">IF(B67="",0,IF(B67=0,C67, IF(B67&gt;0,B67,0)))</f>
        <v>0</v>
      </c>
    </row>
    <row r="68" spans="1:4" ht="15.5" x14ac:dyDescent="0.35">
      <c r="A68" s="21" t="s">
        <v>37</v>
      </c>
      <c r="B68" s="51" t="str">
        <f>IF(D66*D67=0,"",D66*D67)</f>
        <v/>
      </c>
      <c r="C68" s="51">
        <v>15000</v>
      </c>
      <c r="D68" s="52">
        <f t="shared" si="22"/>
        <v>0</v>
      </c>
    </row>
    <row r="69" spans="1:4" ht="15.5" x14ac:dyDescent="0.35">
      <c r="A69" s="21" t="s">
        <v>130</v>
      </c>
      <c r="B69" s="50"/>
      <c r="C69" s="51">
        <v>10000</v>
      </c>
      <c r="D69" s="52">
        <f t="shared" si="22"/>
        <v>0</v>
      </c>
    </row>
    <row r="70" spans="1:4" ht="15.5" x14ac:dyDescent="0.35">
      <c r="A70" s="21" t="s">
        <v>131</v>
      </c>
      <c r="B70" s="50"/>
      <c r="C70" s="51">
        <v>70000</v>
      </c>
      <c r="D70" s="52">
        <f t="shared" si="22"/>
        <v>0</v>
      </c>
    </row>
    <row r="71" spans="1:4" ht="15.5" x14ac:dyDescent="0.35">
      <c r="A71" s="21" t="s">
        <v>38</v>
      </c>
      <c r="B71" s="50"/>
      <c r="C71" s="51">
        <v>10000</v>
      </c>
      <c r="D71" s="52">
        <f t="shared" si="22"/>
        <v>0</v>
      </c>
    </row>
    <row r="72" spans="1:4" ht="15.5" x14ac:dyDescent="0.35">
      <c r="A72" s="21" t="s">
        <v>39</v>
      </c>
      <c r="B72" s="50"/>
      <c r="C72" s="51">
        <v>6000</v>
      </c>
      <c r="D72" s="52">
        <f t="shared" si="22"/>
        <v>0</v>
      </c>
    </row>
    <row r="73" spans="1:4" ht="15.5" x14ac:dyDescent="0.35">
      <c r="A73" s="21" t="s">
        <v>132</v>
      </c>
      <c r="B73" s="50"/>
      <c r="C73" s="51">
        <v>5000</v>
      </c>
      <c r="D73" s="52">
        <f t="shared" si="22"/>
        <v>0</v>
      </c>
    </row>
    <row r="74" spans="1:4" ht="15.5" x14ac:dyDescent="0.35">
      <c r="A74" s="21" t="s">
        <v>133</v>
      </c>
      <c r="B74" s="50"/>
      <c r="C74" s="51">
        <v>8000</v>
      </c>
      <c r="D74" s="52">
        <f t="shared" si="22"/>
        <v>0</v>
      </c>
    </row>
    <row r="75" spans="1:4" ht="15.5" x14ac:dyDescent="0.35">
      <c r="A75" s="21" t="s">
        <v>40</v>
      </c>
      <c r="B75" s="50"/>
      <c r="C75" s="51">
        <v>30000</v>
      </c>
      <c r="D75" s="52">
        <f t="shared" si="22"/>
        <v>0</v>
      </c>
    </row>
    <row r="76" spans="1:4" ht="15.5" x14ac:dyDescent="0.35">
      <c r="A76" s="21" t="s">
        <v>41</v>
      </c>
      <c r="B76" s="50"/>
      <c r="C76" s="51">
        <v>45000</v>
      </c>
      <c r="D76" s="52">
        <f t="shared" si="22"/>
        <v>0</v>
      </c>
    </row>
    <row r="78" spans="1:4" s="11" customFormat="1" ht="15.5" x14ac:dyDescent="0.35">
      <c r="A78" s="10" t="s">
        <v>104</v>
      </c>
    </row>
    <row r="79" spans="1:4" s="17" customFormat="1" ht="15.5" x14ac:dyDescent="0.35">
      <c r="A79" s="10" t="s">
        <v>154</v>
      </c>
    </row>
    <row r="81" spans="1:4" ht="15.5" x14ac:dyDescent="0.35">
      <c r="A81" s="7" t="s">
        <v>104</v>
      </c>
      <c r="B81" s="7" t="s">
        <v>42</v>
      </c>
      <c r="C81" s="7" t="s">
        <v>43</v>
      </c>
      <c r="D81" s="7" t="s">
        <v>44</v>
      </c>
    </row>
    <row r="82" spans="1:4" ht="15.5" x14ac:dyDescent="0.35">
      <c r="A82" s="21" t="s">
        <v>148</v>
      </c>
      <c r="B82" s="91"/>
      <c r="C82" s="91"/>
      <c r="D82" s="92">
        <f>SUM(B82:C82)</f>
        <v>0</v>
      </c>
    </row>
    <row r="83" spans="1:4" ht="15.5" x14ac:dyDescent="0.35">
      <c r="A83" s="21" t="s">
        <v>149</v>
      </c>
      <c r="B83" s="91"/>
      <c r="C83" s="91"/>
      <c r="D83" s="92">
        <f t="shared" ref="D83:D84" si="23">SUM(B83:C83)</f>
        <v>0</v>
      </c>
    </row>
    <row r="84" spans="1:4" ht="15.5" x14ac:dyDescent="0.35">
      <c r="A84" s="21" t="s">
        <v>150</v>
      </c>
      <c r="B84" s="91"/>
      <c r="C84" s="91"/>
      <c r="D84" s="92">
        <f t="shared" si="23"/>
        <v>0</v>
      </c>
    </row>
    <row r="85" spans="1:4" ht="15.5" x14ac:dyDescent="0.35">
      <c r="A85" s="7"/>
      <c r="B85" s="7"/>
      <c r="C85" s="7"/>
      <c r="D85" s="7"/>
    </row>
    <row r="86" spans="1:4" ht="15.5" x14ac:dyDescent="0.35">
      <c r="A86" s="7" t="s">
        <v>155</v>
      </c>
      <c r="B86" s="7" t="s">
        <v>14</v>
      </c>
      <c r="C86" s="7" t="s">
        <v>14</v>
      </c>
      <c r="D86" s="7" t="s">
        <v>14</v>
      </c>
    </row>
    <row r="87" spans="1:4" ht="15.5" x14ac:dyDescent="0.35">
      <c r="A87" s="93" t="s">
        <v>151</v>
      </c>
      <c r="B87" s="86" t="str">
        <f>IFERROR(+B82/Hakkuukone!D12,"")</f>
        <v/>
      </c>
      <c r="C87" s="86" t="str">
        <f>IFERROR(+C82/Kuormatraktori!D12," ")</f>
        <v xml:space="preserve"> </v>
      </c>
      <c r="D87" s="86" t="str">
        <f>IFERROR(+B87+C87,"")</f>
        <v/>
      </c>
    </row>
    <row r="88" spans="1:4" ht="15.5" x14ac:dyDescent="0.35">
      <c r="A88" s="93" t="s">
        <v>152</v>
      </c>
      <c r="B88" s="86" t="str">
        <f>IFERROR(+B83/Hakkuukone!D13,"")</f>
        <v/>
      </c>
      <c r="C88" s="86" t="str">
        <f>IFERROR(+C83/Kuormatraktori!D13,"")</f>
        <v/>
      </c>
      <c r="D88" s="86" t="str">
        <f>IFERROR(+B88+C88,"")</f>
        <v/>
      </c>
    </row>
    <row r="89" spans="1:4" ht="15.5" x14ac:dyDescent="0.35">
      <c r="A89" s="93" t="s">
        <v>153</v>
      </c>
      <c r="B89" s="86" t="str">
        <f>IFERROR(+B84/Hakkuukone!D14,"")</f>
        <v/>
      </c>
      <c r="C89" s="86" t="str">
        <f>IFERROR(+C84/Kuormatraktori!D14,"")</f>
        <v/>
      </c>
      <c r="D89" s="86" t="str">
        <f>IFERROR(+B89+C89,"")</f>
        <v/>
      </c>
    </row>
    <row r="92" spans="1:4" ht="15" x14ac:dyDescent="0.4">
      <c r="B92" s="34"/>
    </row>
  </sheetData>
  <phoneticPr fontId="8"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0AE0-4BCA-594A-87A3-A79574F9B0E6}">
  <dimension ref="A1:K62"/>
  <sheetViews>
    <sheetView zoomScaleNormal="100" workbookViewId="0">
      <selection activeCell="A48" sqref="A48"/>
    </sheetView>
  </sheetViews>
  <sheetFormatPr defaultColWidth="11.453125" defaultRowHeight="14.5" x14ac:dyDescent="0.35"/>
  <cols>
    <col min="1" max="1" width="44.453125" style="3" customWidth="1"/>
    <col min="2" max="2" width="14.81640625" style="3" customWidth="1"/>
    <col min="3" max="3" width="9.453125" style="3" customWidth="1"/>
    <col min="4" max="4" width="19.54296875" style="3" customWidth="1"/>
    <col min="5" max="5" width="2.453125" style="3" customWidth="1"/>
    <col min="6" max="6" width="56.81640625" style="3" bestFit="1" customWidth="1"/>
    <col min="7" max="7" width="11.1796875" style="3" customWidth="1"/>
    <col min="8" max="8" width="9.453125" style="3" customWidth="1"/>
    <col min="9" max="9" width="6.453125" style="3" customWidth="1"/>
    <col min="10" max="16384" width="11.453125" style="3"/>
  </cols>
  <sheetData>
    <row r="1" spans="1:11" s="5" customFormat="1" ht="18.5" x14ac:dyDescent="0.45">
      <c r="A1" s="6" t="s">
        <v>112</v>
      </c>
    </row>
    <row r="2" spans="1:11" s="11" customFormat="1" ht="15.5" x14ac:dyDescent="0.35">
      <c r="A2" s="10" t="s">
        <v>106</v>
      </c>
    </row>
    <row r="3" spans="1:11" s="32" customFormat="1" ht="15.5" x14ac:dyDescent="0.35">
      <c r="A3" s="31" t="s">
        <v>105</v>
      </c>
    </row>
    <row r="4" spans="1:11" s="9" customFormat="1" ht="15.5" x14ac:dyDescent="0.35">
      <c r="A4" s="8"/>
    </row>
    <row r="5" spans="1:11" ht="15.5" x14ac:dyDescent="0.35">
      <c r="A5" s="7" t="s">
        <v>48</v>
      </c>
      <c r="B5" s="7" t="s">
        <v>3</v>
      </c>
      <c r="C5" s="7" t="s">
        <v>4</v>
      </c>
      <c r="D5" s="7" t="s">
        <v>96</v>
      </c>
      <c r="F5" s="8" t="s">
        <v>49</v>
      </c>
      <c r="G5" s="21"/>
      <c r="H5" s="21"/>
      <c r="I5" s="21"/>
    </row>
    <row r="6" spans="1:11" ht="15.5" x14ac:dyDescent="0.35">
      <c r="A6" s="93" t="s">
        <v>50</v>
      </c>
      <c r="B6" s="94"/>
      <c r="C6" s="95">
        <v>480000</v>
      </c>
      <c r="D6" s="96">
        <f>IF(B6="",0,IF(B6=0,C6, IF(B6&gt;0,B6,0)))</f>
        <v>0</v>
      </c>
      <c r="F6" s="21" t="s">
        <v>5</v>
      </c>
      <c r="G6" s="59">
        <f>IF(D6=0,0,Korjuuketju!B14)</f>
        <v>0</v>
      </c>
      <c r="H6" s="21" t="s">
        <v>6</v>
      </c>
      <c r="I6" s="21"/>
    </row>
    <row r="7" spans="1:11" ht="15.5" x14ac:dyDescent="0.35">
      <c r="A7" s="97" t="s">
        <v>51</v>
      </c>
      <c r="B7" s="98"/>
      <c r="C7" s="99">
        <v>5</v>
      </c>
      <c r="D7" s="100">
        <f t="shared" ref="D7:D8" si="0">IF(B7="",0,IF(B7=0,C7, IF(B7&gt;0,B7,0)))</f>
        <v>0</v>
      </c>
      <c r="F7" s="21" t="s">
        <v>93</v>
      </c>
      <c r="G7" s="59">
        <f>D18</f>
        <v>0</v>
      </c>
      <c r="H7" s="21" t="s">
        <v>9</v>
      </c>
      <c r="I7" s="21"/>
    </row>
    <row r="8" spans="1:11" ht="15.5" x14ac:dyDescent="0.35">
      <c r="A8" s="93" t="s">
        <v>52</v>
      </c>
      <c r="B8" s="98"/>
      <c r="C8" s="99">
        <v>18</v>
      </c>
      <c r="D8" s="101">
        <f t="shared" si="0"/>
        <v>0</v>
      </c>
      <c r="F8" s="21"/>
      <c r="G8" s="21"/>
      <c r="H8" s="21"/>
      <c r="I8" s="21"/>
    </row>
    <row r="9" spans="1:11" ht="15.5" x14ac:dyDescent="0.35">
      <c r="A9" s="93" t="s">
        <v>53</v>
      </c>
      <c r="B9" s="102" t="str">
        <f>IF(B6*(1-(B8/100))^B7=0,"",B6*(1-(B8/100))^B7)</f>
        <v/>
      </c>
      <c r="C9" s="102">
        <v>150000</v>
      </c>
      <c r="D9" s="103">
        <f>IF(B9="",0,IF(B9=0,C9, IF(B9&gt;0,B9,0)))</f>
        <v>0</v>
      </c>
      <c r="F9" s="7" t="s">
        <v>157</v>
      </c>
      <c r="G9" s="21" t="s">
        <v>12</v>
      </c>
      <c r="H9" s="21" t="s">
        <v>13</v>
      </c>
      <c r="I9" s="21" t="s">
        <v>14</v>
      </c>
      <c r="K9" s="37"/>
    </row>
    <row r="10" spans="1:11" ht="15.5" x14ac:dyDescent="0.35">
      <c r="A10" s="21"/>
      <c r="B10" s="21"/>
      <c r="C10" s="21"/>
      <c r="D10" s="104"/>
      <c r="F10" s="21" t="s">
        <v>16</v>
      </c>
      <c r="G10" s="59">
        <f>IF($B$6&gt;0,(Korjuuketju!$G$6/Korjuuketju!$G$8)*Korjuuketju!G11,0)</f>
        <v>0</v>
      </c>
      <c r="H10" s="62">
        <f>IFERROR(G10/$G$7, 0)</f>
        <v>0</v>
      </c>
      <c r="I10" s="62">
        <f>IFERROR(G10/$G$6,0)</f>
        <v>0</v>
      </c>
    </row>
    <row r="11" spans="1:11" ht="15.5" x14ac:dyDescent="0.35">
      <c r="A11" s="13" t="s">
        <v>54</v>
      </c>
      <c r="B11" s="7" t="s">
        <v>3</v>
      </c>
      <c r="C11" s="7" t="s">
        <v>4</v>
      </c>
      <c r="D11" s="7" t="s">
        <v>96</v>
      </c>
      <c r="F11" s="64" t="s">
        <v>18</v>
      </c>
      <c r="G11" s="59">
        <f>IF($B$6&gt;0,(Korjuuketju!$G$6/Korjuuketju!$G$8)*Korjuuketju!G12,0)</f>
        <v>0</v>
      </c>
      <c r="H11" s="62">
        <f t="shared" ref="H11:H14" si="1">IFERROR(G11/$G$7, 0)</f>
        <v>0</v>
      </c>
      <c r="I11" s="62">
        <f t="shared" ref="I11:I14" si="2">IFERROR(G11/$G$6,0)</f>
        <v>0</v>
      </c>
    </row>
    <row r="12" spans="1:11" ht="16" thickBot="1" x14ac:dyDescent="0.4">
      <c r="A12" s="93" t="s">
        <v>45</v>
      </c>
      <c r="B12" s="105"/>
      <c r="C12" s="106">
        <v>6</v>
      </c>
      <c r="D12" s="107">
        <f t="shared" ref="D12:D14" si="3">IF(B12="",0,IF(B12=0,C12, IF(B12&gt;0,B12,0)))</f>
        <v>0</v>
      </c>
      <c r="F12" s="64" t="s">
        <v>20</v>
      </c>
      <c r="G12" s="59">
        <f>IF($B$6&gt;0,(Korjuuketju!$G$6/Korjuuketju!$G$8)*Korjuuketju!G13,0)</f>
        <v>0</v>
      </c>
      <c r="H12" s="62">
        <f t="shared" si="1"/>
        <v>0</v>
      </c>
      <c r="I12" s="62">
        <f t="shared" si="2"/>
        <v>0</v>
      </c>
    </row>
    <row r="13" spans="1:11" ht="16" thickBot="1" x14ac:dyDescent="0.4">
      <c r="A13" s="93" t="s">
        <v>46</v>
      </c>
      <c r="B13" s="108"/>
      <c r="C13" s="109">
        <v>16</v>
      </c>
      <c r="D13" s="110">
        <f t="shared" si="3"/>
        <v>0</v>
      </c>
      <c r="F13" s="64" t="s">
        <v>22</v>
      </c>
      <c r="G13" s="59">
        <f>IF($B$6&gt;0,(Korjuuketju!$G$6/Korjuuketju!$G$8)*Korjuuketju!G14,0)</f>
        <v>0</v>
      </c>
      <c r="H13" s="62">
        <f t="shared" si="1"/>
        <v>0</v>
      </c>
      <c r="I13" s="62">
        <f t="shared" si="2"/>
        <v>0</v>
      </c>
    </row>
    <row r="14" spans="1:11" ht="16" thickBot="1" x14ac:dyDescent="0.4">
      <c r="A14" s="93" t="s">
        <v>47</v>
      </c>
      <c r="B14" s="108"/>
      <c r="C14" s="109">
        <v>25</v>
      </c>
      <c r="D14" s="110">
        <f t="shared" si="3"/>
        <v>0</v>
      </c>
      <c r="F14" s="21" t="s">
        <v>95</v>
      </c>
      <c r="G14" s="59">
        <f>IF($B$6&gt;0,(Korjuuketju!$G$6/Korjuuketju!$G$8)*Korjuuketju!G15,0)</f>
        <v>0</v>
      </c>
      <c r="H14" s="62">
        <f t="shared" si="1"/>
        <v>0</v>
      </c>
      <c r="I14" s="62">
        <f t="shared" si="2"/>
        <v>0</v>
      </c>
    </row>
    <row r="15" spans="1:11" ht="15.5" x14ac:dyDescent="0.35">
      <c r="A15" s="93" t="s">
        <v>55</v>
      </c>
      <c r="B15" s="111"/>
      <c r="C15" s="109">
        <v>85</v>
      </c>
      <c r="D15" s="112">
        <f>IF(B15="",0,IF(B15=0,C15, IF(B15&gt;0,B15,0)))</f>
        <v>0</v>
      </c>
      <c r="F15" s="7" t="s">
        <v>24</v>
      </c>
      <c r="G15" s="76">
        <f>SUM(G10:G14)</f>
        <v>0</v>
      </c>
      <c r="H15" s="119">
        <f>SUM(H10:H14)</f>
        <v>0</v>
      </c>
      <c r="I15" s="119">
        <f>SUM(I10:I14)</f>
        <v>0</v>
      </c>
    </row>
    <row r="16" spans="1:11" ht="15.5" x14ac:dyDescent="0.35">
      <c r="A16" s="21"/>
      <c r="B16" s="21"/>
      <c r="C16" s="21"/>
      <c r="D16" s="104"/>
      <c r="F16" s="21"/>
      <c r="G16" s="21"/>
      <c r="H16" s="21"/>
      <c r="I16" s="21"/>
    </row>
    <row r="17" spans="1:9" ht="16" thickBot="1" x14ac:dyDescent="0.4">
      <c r="A17" s="15" t="s">
        <v>56</v>
      </c>
      <c r="B17" s="21"/>
      <c r="C17" s="21"/>
      <c r="D17" s="104"/>
      <c r="F17" s="82" t="s">
        <v>158</v>
      </c>
      <c r="G17" s="21" t="s">
        <v>12</v>
      </c>
      <c r="H17" s="21" t="s">
        <v>13</v>
      </c>
      <c r="I17" s="21" t="s">
        <v>14</v>
      </c>
    </row>
    <row r="18" spans="1:9" ht="15.5" x14ac:dyDescent="0.35">
      <c r="A18" s="97" t="s">
        <v>57</v>
      </c>
      <c r="B18" s="113" t="str">
        <f>IFERROR(Korjuuketju!$D$11/Hakkuukone!$D$12+Korjuuketju!$D$12/Hakkuukone!$D$13+Korjuuketju!$D$13/Hakkuukone!$D$14,"")</f>
        <v/>
      </c>
      <c r="C18" s="114">
        <v>2400</v>
      </c>
      <c r="D18" s="115">
        <f>IF(B18="",0,IF(B18=0,C18, IF(B18&gt;0,B18,0)))</f>
        <v>0</v>
      </c>
      <c r="F18" s="64" t="s">
        <v>87</v>
      </c>
      <c r="G18" s="59">
        <f>IFERROR((Hakkuukone!$D$6-Hakkuukone!$D$9)/Hakkuukone!$D$7,0)</f>
        <v>0</v>
      </c>
      <c r="H18" s="62">
        <f>IFERROR(G18/$G$7,0)</f>
        <v>0</v>
      </c>
      <c r="I18" s="62">
        <f>IFERROR(G18/$G$6,0)</f>
        <v>0</v>
      </c>
    </row>
    <row r="19" spans="1:9" ht="16" thickBot="1" x14ac:dyDescent="0.4">
      <c r="A19" s="97" t="s">
        <v>58</v>
      </c>
      <c r="B19" s="116" t="str">
        <f>IFERROR(B18*(100/B15),"")</f>
        <v/>
      </c>
      <c r="C19" s="117">
        <v>2800</v>
      </c>
      <c r="D19" s="118">
        <f>IF(B19="",0,IF(B19=0,C19, IF(B19&gt;0,B19,0)))</f>
        <v>0</v>
      </c>
      <c r="F19" s="64" t="s">
        <v>17</v>
      </c>
      <c r="G19" s="120">
        <f>IFERROR(Hakkuukone!$D$19*Korjuuketju!$D$60*(1+(Korjuuketju!$D$62/100))+(Hakkuukone!$D$38*Korjuuketju!$D$54+Hakkuukone!$D$39*Korjuuketju!$D$55+Hakkuukone!$D$40*Korjuuketju!$D$56+Hakkuukone!$D$41*Korjuuketju!$D$57),0)</f>
        <v>0</v>
      </c>
      <c r="H19" s="62">
        <f>IFERROR(G19/$G$7,0)</f>
        <v>0</v>
      </c>
      <c r="I19" s="62">
        <f>IFERROR(G19/$G$6,0)</f>
        <v>0</v>
      </c>
    </row>
    <row r="20" spans="1:9" ht="15.5" x14ac:dyDescent="0.35">
      <c r="F20" s="82" t="s">
        <v>24</v>
      </c>
      <c r="G20" s="76">
        <f>SUM(G18:G19)</f>
        <v>0</v>
      </c>
      <c r="H20" s="119">
        <f>SUM(H18:H19)</f>
        <v>0</v>
      </c>
      <c r="I20" s="119">
        <f>SUM(I18:I19)</f>
        <v>0</v>
      </c>
    </row>
    <row r="21" spans="1:9" ht="15.5" x14ac:dyDescent="0.35">
      <c r="F21" s="64"/>
      <c r="G21" s="71"/>
      <c r="H21" s="71"/>
      <c r="I21" s="71"/>
    </row>
    <row r="22" spans="1:9" ht="15.5" x14ac:dyDescent="0.35">
      <c r="B22" s="25"/>
      <c r="F22" s="82" t="s">
        <v>159</v>
      </c>
      <c r="G22" s="21" t="s">
        <v>12</v>
      </c>
      <c r="H22" s="21" t="s">
        <v>13</v>
      </c>
      <c r="I22" s="21" t="s">
        <v>14</v>
      </c>
    </row>
    <row r="23" spans="1:9" ht="15.5" x14ac:dyDescent="0.35">
      <c r="F23" s="64" t="s">
        <v>27</v>
      </c>
      <c r="G23" s="59">
        <f>(Korjuuketju!D19*Hakkuukone!$D$44)*Hakkuukone!$D$18</f>
        <v>0</v>
      </c>
      <c r="H23" s="63">
        <f t="shared" ref="H23:H29" si="4">IFERROR(G23/$G$7,0)</f>
        <v>0</v>
      </c>
      <c r="I23" s="63">
        <f t="shared" ref="I23:I29" si="5">IFERROR(G23/$G$6,0)</f>
        <v>0</v>
      </c>
    </row>
    <row r="24" spans="1:9" ht="15.5" x14ac:dyDescent="0.35">
      <c r="F24" s="21" t="s">
        <v>134</v>
      </c>
      <c r="G24" s="59">
        <f>(Korjuuketju!$D$23*Hakkuukone!$D$45)*Hakkuukone!$D$18</f>
        <v>0</v>
      </c>
      <c r="H24" s="63">
        <f t="shared" si="4"/>
        <v>0</v>
      </c>
      <c r="I24" s="63">
        <f t="shared" si="5"/>
        <v>0</v>
      </c>
    </row>
    <row r="25" spans="1:9" ht="15.5" x14ac:dyDescent="0.35">
      <c r="F25" s="64" t="s">
        <v>141</v>
      </c>
      <c r="G25" s="59">
        <f>D54</f>
        <v>0</v>
      </c>
      <c r="H25" s="63">
        <f t="shared" si="4"/>
        <v>0</v>
      </c>
      <c r="I25" s="63">
        <f t="shared" si="5"/>
        <v>0</v>
      </c>
    </row>
    <row r="26" spans="1:9" ht="15.5" x14ac:dyDescent="0.35">
      <c r="F26" s="64" t="s">
        <v>29</v>
      </c>
      <c r="G26" s="59">
        <f>IFERROR(((Hakkuukone!$D$46*Korjuuketju!D22)*Hakkuukone!$D$18)+(Hakkuukone!$D$48*Korjuuketju!$D$20)+((Hakkuukone!$D$50*Korjuuketju!$D$21)),0)</f>
        <v>0</v>
      </c>
      <c r="H26" s="63">
        <f t="shared" si="4"/>
        <v>0</v>
      </c>
      <c r="I26" s="63">
        <f t="shared" si="5"/>
        <v>0</v>
      </c>
    </row>
    <row r="27" spans="1:9" ht="15.5" x14ac:dyDescent="0.35">
      <c r="F27" s="64" t="s">
        <v>59</v>
      </c>
      <c r="G27" s="59">
        <f>IFERROR((Hakkuukone!$D$51*Korjuuketju!$D$24)*Hakkuukone!$D$18,0)</f>
        <v>0</v>
      </c>
      <c r="H27" s="63">
        <f t="shared" si="4"/>
        <v>0</v>
      </c>
      <c r="I27" s="63">
        <f t="shared" si="5"/>
        <v>0</v>
      </c>
    </row>
    <row r="28" spans="1:9" ht="15.5" x14ac:dyDescent="0.35">
      <c r="F28" s="64" t="s">
        <v>30</v>
      </c>
      <c r="G28" s="59">
        <f>IF(Hakkuukone!$D$6=0,0,Korjuuketju!$B$68/2)</f>
        <v>0</v>
      </c>
      <c r="H28" s="63">
        <f t="shared" si="4"/>
        <v>0</v>
      </c>
      <c r="I28" s="63">
        <f t="shared" si="5"/>
        <v>0</v>
      </c>
    </row>
    <row r="29" spans="1:9" ht="15.5" x14ac:dyDescent="0.35">
      <c r="F29" s="121" t="s">
        <v>31</v>
      </c>
      <c r="G29" s="59">
        <f>Hakkuukone!$D$57</f>
        <v>0</v>
      </c>
      <c r="H29" s="63">
        <f t="shared" si="4"/>
        <v>0</v>
      </c>
      <c r="I29" s="63">
        <f t="shared" si="5"/>
        <v>0</v>
      </c>
    </row>
    <row r="30" spans="1:9" ht="15.5" x14ac:dyDescent="0.35">
      <c r="F30" s="82" t="s">
        <v>24</v>
      </c>
      <c r="G30" s="122">
        <f>SUM(G23:G29)</f>
        <v>0</v>
      </c>
      <c r="H30" s="123">
        <f>SUM(H23:H29)</f>
        <v>0</v>
      </c>
      <c r="I30" s="123">
        <f>SUM(I23:I29)</f>
        <v>0</v>
      </c>
    </row>
    <row r="31" spans="1:9" ht="15.5" x14ac:dyDescent="0.35">
      <c r="F31" s="21"/>
      <c r="G31" s="21"/>
      <c r="H31" s="21"/>
      <c r="I31" s="21"/>
    </row>
    <row r="32" spans="1:9" ht="15.5" x14ac:dyDescent="0.35">
      <c r="F32" s="7" t="s">
        <v>24</v>
      </c>
      <c r="G32" s="124">
        <f>SUM(G15,G20,G30)</f>
        <v>0</v>
      </c>
      <c r="H32" s="125">
        <f t="shared" ref="H32" si="6">SUM(H15,H20,H30)</f>
        <v>0</v>
      </c>
      <c r="I32" s="125">
        <f>SUM(I15,I20,I30)</f>
        <v>0</v>
      </c>
    </row>
    <row r="34" spans="1:6" s="11" customFormat="1" ht="15.5" x14ac:dyDescent="0.35">
      <c r="A34" s="10" t="s">
        <v>60</v>
      </c>
    </row>
    <row r="35" spans="1:6" s="11" customFormat="1" ht="15.5" x14ac:dyDescent="0.35">
      <c r="A35" s="10" t="s">
        <v>143</v>
      </c>
    </row>
    <row r="36" spans="1:6" s="9" customFormat="1" ht="15.5" x14ac:dyDescent="0.35">
      <c r="A36" s="8"/>
    </row>
    <row r="37" spans="1:6" ht="15.5" x14ac:dyDescent="0.35">
      <c r="A37" s="15" t="s">
        <v>61</v>
      </c>
      <c r="B37" s="7" t="s">
        <v>3</v>
      </c>
      <c r="C37" s="7" t="s">
        <v>4</v>
      </c>
      <c r="D37" s="7" t="s">
        <v>96</v>
      </c>
    </row>
    <row r="38" spans="1:6" ht="15.5" x14ac:dyDescent="0.35">
      <c r="A38" s="21" t="s">
        <v>62</v>
      </c>
      <c r="B38" s="94"/>
      <c r="C38" s="95">
        <v>0</v>
      </c>
      <c r="D38" s="126">
        <f>IF(B38="",0,IF(B38=0,C38, IF(B38&gt;0,B38,0)))</f>
        <v>0</v>
      </c>
    </row>
    <row r="39" spans="1:6" ht="15.5" x14ac:dyDescent="0.35">
      <c r="A39" s="21" t="s">
        <v>63</v>
      </c>
      <c r="B39" s="108"/>
      <c r="C39" s="109">
        <v>150</v>
      </c>
      <c r="D39" s="127">
        <f>IF(B39="",0,IF(B39=0,C39, IF(B39&gt;0,B39,0)))</f>
        <v>0</v>
      </c>
    </row>
    <row r="40" spans="1:6" ht="15.5" x14ac:dyDescent="0.35">
      <c r="A40" s="21" t="s">
        <v>64</v>
      </c>
      <c r="B40" s="108"/>
      <c r="C40" s="109">
        <v>70</v>
      </c>
      <c r="D40" s="127">
        <f>IF(B40="",0,IF(B40=0,C40, IF(B40&gt;0,B40,0)))</f>
        <v>0</v>
      </c>
      <c r="F40" s="28"/>
    </row>
    <row r="41" spans="1:6" ht="15.5" x14ac:dyDescent="0.35">
      <c r="A41" s="21" t="s">
        <v>65</v>
      </c>
      <c r="B41" s="108"/>
      <c r="C41" s="109">
        <v>50</v>
      </c>
      <c r="D41" s="127">
        <f>IF(B41="",0,IF(B41=0,C41, IF(B41&gt;0,B41,0)))</f>
        <v>0</v>
      </c>
    </row>
    <row r="42" spans="1:6" ht="15.5" x14ac:dyDescent="0.35">
      <c r="A42" s="21"/>
      <c r="B42" s="21"/>
      <c r="C42" s="21"/>
      <c r="D42" s="21"/>
    </row>
    <row r="43" spans="1:6" ht="15.5" x14ac:dyDescent="0.35">
      <c r="A43" s="13" t="s">
        <v>66</v>
      </c>
      <c r="B43" s="7" t="s">
        <v>3</v>
      </c>
      <c r="C43" s="7" t="s">
        <v>4</v>
      </c>
      <c r="D43" s="7" t="s">
        <v>96</v>
      </c>
    </row>
    <row r="44" spans="1:6" ht="15.5" x14ac:dyDescent="0.35">
      <c r="A44" s="21" t="s">
        <v>67</v>
      </c>
      <c r="B44" s="128"/>
      <c r="C44" s="129">
        <v>12.5</v>
      </c>
      <c r="D44" s="130">
        <f>IF(B44="",0,IF(B44=0,C44, IF(B44&gt;0,B44,0)))</f>
        <v>0</v>
      </c>
    </row>
    <row r="45" spans="1:6" ht="15.5" x14ac:dyDescent="0.35">
      <c r="A45" s="21" t="s">
        <v>136</v>
      </c>
      <c r="B45" s="128"/>
      <c r="C45" s="129">
        <v>0.9</v>
      </c>
      <c r="D45" s="130">
        <f t="shared" ref="D45:D50" si="7">IF(B45="",0,IF(B45=0,C45, IF(B45&gt;0,B45,0)))</f>
        <v>0</v>
      </c>
    </row>
    <row r="46" spans="1:6" ht="15.5" x14ac:dyDescent="0.35">
      <c r="A46" s="21" t="s">
        <v>68</v>
      </c>
      <c r="B46" s="128"/>
      <c r="C46" s="129">
        <v>0.8</v>
      </c>
      <c r="D46" s="130">
        <f t="shared" si="7"/>
        <v>0</v>
      </c>
    </row>
    <row r="47" spans="1:6" ht="15.5" x14ac:dyDescent="0.35">
      <c r="A47" s="21" t="s">
        <v>84</v>
      </c>
      <c r="B47" s="128"/>
      <c r="C47" s="48">
        <v>1000</v>
      </c>
      <c r="D47" s="49">
        <f t="shared" si="7"/>
        <v>0</v>
      </c>
    </row>
    <row r="48" spans="1:6" ht="15.5" x14ac:dyDescent="0.35">
      <c r="A48" s="21" t="s">
        <v>85</v>
      </c>
      <c r="B48" s="131" t="str">
        <f>IFERROR(G7/B47,"")</f>
        <v/>
      </c>
      <c r="C48" s="129">
        <v>3</v>
      </c>
      <c r="D48" s="132">
        <f>IF(B48="",0,IF(B48=0,C48, IF(B48&gt;0,B48,0)))</f>
        <v>0</v>
      </c>
    </row>
    <row r="49" spans="1:4" ht="15.5" x14ac:dyDescent="0.35">
      <c r="A49" s="64" t="s">
        <v>137</v>
      </c>
      <c r="B49" s="128"/>
      <c r="C49" s="129">
        <v>200</v>
      </c>
      <c r="D49" s="130">
        <f t="shared" si="7"/>
        <v>0</v>
      </c>
    </row>
    <row r="50" spans="1:4" ht="15.5" x14ac:dyDescent="0.35">
      <c r="A50" s="64" t="s">
        <v>86</v>
      </c>
      <c r="B50" s="85" t="str">
        <f>IFERROR(G7/B49,"")</f>
        <v/>
      </c>
      <c r="C50" s="129">
        <v>6</v>
      </c>
      <c r="D50" s="132">
        <f t="shared" si="7"/>
        <v>0</v>
      </c>
    </row>
    <row r="51" spans="1:4" ht="15.5" x14ac:dyDescent="0.35">
      <c r="A51" s="64" t="s">
        <v>140</v>
      </c>
      <c r="B51" s="128"/>
      <c r="C51" s="129">
        <v>10</v>
      </c>
      <c r="D51" s="130">
        <f>IF(B51="",0,IF(B51=0,C51, IF(B51&gt;0,B51,0)))</f>
        <v>0</v>
      </c>
    </row>
    <row r="52" spans="1:4" ht="15.5" x14ac:dyDescent="0.35">
      <c r="A52" s="21"/>
      <c r="B52" s="21"/>
      <c r="C52" s="21"/>
      <c r="D52" s="21"/>
    </row>
    <row r="53" spans="1:4" ht="15.5" x14ac:dyDescent="0.35">
      <c r="A53" s="7" t="s">
        <v>69</v>
      </c>
      <c r="B53" s="7" t="s">
        <v>3</v>
      </c>
      <c r="C53" s="7" t="s">
        <v>4</v>
      </c>
      <c r="D53" s="7" t="s">
        <v>96</v>
      </c>
    </row>
    <row r="54" spans="1:4" ht="15.5" x14ac:dyDescent="0.35">
      <c r="A54" s="21" t="s">
        <v>139</v>
      </c>
      <c r="B54" s="47"/>
      <c r="C54" s="48">
        <v>30000</v>
      </c>
      <c r="D54" s="49">
        <f>IF(B54="",0,IF(B54=0,C54, IF(B54&gt;0,B54,0)))</f>
        <v>0</v>
      </c>
    </row>
    <row r="55" spans="1:4" ht="15.5" x14ac:dyDescent="0.35">
      <c r="A55" s="21"/>
      <c r="B55" s="21"/>
      <c r="C55" s="90"/>
      <c r="D55" s="90"/>
    </row>
    <row r="56" spans="1:4" ht="15.5" x14ac:dyDescent="0.35">
      <c r="A56" s="7" t="s">
        <v>70</v>
      </c>
      <c r="B56" s="7" t="s">
        <v>3</v>
      </c>
      <c r="C56" s="7" t="s">
        <v>4</v>
      </c>
      <c r="D56" s="7" t="s">
        <v>96</v>
      </c>
    </row>
    <row r="57" spans="1:4" ht="15.5" x14ac:dyDescent="0.35">
      <c r="A57" s="21" t="s">
        <v>138</v>
      </c>
      <c r="B57" s="47"/>
      <c r="C57" s="48">
        <v>30000</v>
      </c>
      <c r="D57" s="49">
        <f>IF(B57="",0,IF(B57=0,C57, IF(B57&gt;0,B57,0)))</f>
        <v>0</v>
      </c>
    </row>
    <row r="60" spans="1:4" x14ac:dyDescent="0.35">
      <c r="A60" s="12"/>
    </row>
    <row r="61" spans="1:4" x14ac:dyDescent="0.35">
      <c r="A61" s="12"/>
    </row>
    <row r="62" spans="1:4" x14ac:dyDescent="0.35">
      <c r="A62" s="12"/>
    </row>
  </sheetData>
  <phoneticPr fontId="8"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F1FE-D9C0-FD4D-B52D-6B27C01371D9}">
  <dimension ref="A1:K51"/>
  <sheetViews>
    <sheetView zoomScaleNormal="100" workbookViewId="0">
      <selection activeCell="F42" sqref="F42"/>
    </sheetView>
  </sheetViews>
  <sheetFormatPr defaultColWidth="11.453125" defaultRowHeight="14.5" x14ac:dyDescent="0.35"/>
  <cols>
    <col min="1" max="1" width="46.1796875" style="3" customWidth="1"/>
    <col min="2" max="2" width="15.1796875" style="3" customWidth="1"/>
    <col min="3" max="3" width="10" style="3" customWidth="1"/>
    <col min="4" max="4" width="18.453125" style="3" customWidth="1"/>
    <col min="5" max="5" width="2.81640625" style="3" customWidth="1"/>
    <col min="6" max="6" width="60.1796875" style="3" bestFit="1" customWidth="1"/>
    <col min="7" max="7" width="11.1796875" style="3" customWidth="1"/>
    <col min="8" max="8" width="8.81640625" style="3" customWidth="1"/>
    <col min="9" max="9" width="8" style="3" customWidth="1"/>
    <col min="10" max="16384" width="11.453125" style="3"/>
  </cols>
  <sheetData>
    <row r="1" spans="1:11" s="5" customFormat="1" ht="18.5" x14ac:dyDescent="0.45">
      <c r="A1" s="6" t="s">
        <v>112</v>
      </c>
    </row>
    <row r="2" spans="1:11" s="11" customFormat="1" ht="15.5" x14ac:dyDescent="0.35">
      <c r="A2" s="10" t="s">
        <v>106</v>
      </c>
    </row>
    <row r="3" spans="1:11" s="32" customFormat="1" ht="15.5" x14ac:dyDescent="0.35">
      <c r="A3" s="31" t="s">
        <v>107</v>
      </c>
    </row>
    <row r="4" spans="1:11" s="9" customFormat="1" ht="15.5" x14ac:dyDescent="0.35">
      <c r="A4" s="8"/>
    </row>
    <row r="5" spans="1:11" ht="15.5" x14ac:dyDescent="0.35">
      <c r="A5" s="7" t="s">
        <v>48</v>
      </c>
      <c r="B5" s="7" t="s">
        <v>3</v>
      </c>
      <c r="C5" s="7" t="s">
        <v>4</v>
      </c>
      <c r="D5" s="7" t="s">
        <v>96</v>
      </c>
      <c r="F5" s="8" t="s">
        <v>71</v>
      </c>
      <c r="G5" s="21"/>
      <c r="H5" s="21"/>
      <c r="I5" s="21"/>
    </row>
    <row r="6" spans="1:11" ht="15.5" x14ac:dyDescent="0.35">
      <c r="A6" s="21" t="s">
        <v>72</v>
      </c>
      <c r="B6" s="94"/>
      <c r="C6" s="95">
        <v>300000</v>
      </c>
      <c r="D6" s="126">
        <f>IF(B6="",0,IF(B6=0,C6, IF(B6&gt;0,B6,0)))</f>
        <v>0</v>
      </c>
      <c r="F6" s="21" t="s">
        <v>5</v>
      </c>
      <c r="G6" s="59">
        <f>IF(D6=0,0,Korjuuketju!B14)</f>
        <v>0</v>
      </c>
      <c r="H6" s="21" t="s">
        <v>6</v>
      </c>
      <c r="I6" s="21"/>
      <c r="K6" s="37"/>
    </row>
    <row r="7" spans="1:11" ht="15.5" x14ac:dyDescent="0.35">
      <c r="A7" s="21" t="s">
        <v>73</v>
      </c>
      <c r="B7" s="98"/>
      <c r="C7" s="109">
        <v>6</v>
      </c>
      <c r="D7" s="133">
        <f t="shared" ref="D7:D8" si="0">IF(B7="",0,IF(B7=0,C7, IF(B7&gt;0,B7,0)))</f>
        <v>0</v>
      </c>
      <c r="F7" s="21" t="s">
        <v>94</v>
      </c>
      <c r="G7" s="140">
        <f>D18</f>
        <v>0</v>
      </c>
      <c r="H7" s="21" t="s">
        <v>9</v>
      </c>
      <c r="I7" s="21"/>
      <c r="K7" s="37"/>
    </row>
    <row r="8" spans="1:11" ht="15.5" x14ac:dyDescent="0.35">
      <c r="A8" s="93" t="s">
        <v>142</v>
      </c>
      <c r="B8" s="108"/>
      <c r="C8" s="109">
        <v>18</v>
      </c>
      <c r="D8" s="126">
        <f t="shared" si="0"/>
        <v>0</v>
      </c>
      <c r="F8" s="21"/>
      <c r="G8" s="21"/>
      <c r="H8" s="21"/>
      <c r="I8" s="21"/>
    </row>
    <row r="9" spans="1:11" ht="15.5" x14ac:dyDescent="0.35">
      <c r="A9" s="21" t="s">
        <v>74</v>
      </c>
      <c r="B9" s="102">
        <f>B6*(1-(B8/100))^B7</f>
        <v>0</v>
      </c>
      <c r="C9" s="102">
        <v>0</v>
      </c>
      <c r="D9" s="126">
        <f>IF(B9="",0,IF(B9=0,C9, IF(B9&gt;0,B9,0)))</f>
        <v>0</v>
      </c>
      <c r="F9" s="7" t="s">
        <v>157</v>
      </c>
      <c r="G9" s="21" t="s">
        <v>12</v>
      </c>
      <c r="H9" s="21" t="s">
        <v>13</v>
      </c>
      <c r="I9" s="21" t="s">
        <v>14</v>
      </c>
    </row>
    <row r="10" spans="1:11" ht="15.5" x14ac:dyDescent="0.35">
      <c r="A10" s="21"/>
      <c r="B10" s="21"/>
      <c r="C10" s="21"/>
      <c r="D10" s="134"/>
      <c r="F10" s="21" t="s">
        <v>16</v>
      </c>
      <c r="G10" s="59">
        <f>IF($B$6&gt;0,(Korjuuketju!$G$7/Korjuuketju!$G$8)*Korjuuketju!G11,0)</f>
        <v>0</v>
      </c>
      <c r="H10" s="62">
        <f>IFERROR(G10/$G$7, 0)</f>
        <v>0</v>
      </c>
      <c r="I10" s="62">
        <f>IFERROR(G10/$G$6, 0)</f>
        <v>0</v>
      </c>
    </row>
    <row r="11" spans="1:11" ht="15.5" x14ac:dyDescent="0.35">
      <c r="A11" s="13" t="s">
        <v>54</v>
      </c>
      <c r="B11" s="7" t="s">
        <v>3</v>
      </c>
      <c r="C11" s="7" t="s">
        <v>4</v>
      </c>
      <c r="D11" s="7" t="s">
        <v>96</v>
      </c>
      <c r="F11" s="64" t="s">
        <v>18</v>
      </c>
      <c r="G11" s="59">
        <f>IF($B$6&gt;0,(Korjuuketju!$G$7/Korjuuketju!$G$8)*Korjuuketju!G12,0)</f>
        <v>0</v>
      </c>
      <c r="H11" s="62">
        <f t="shared" ref="H11:H14" si="1">IFERROR(G11/$G$7, 0)</f>
        <v>0</v>
      </c>
      <c r="I11" s="62">
        <f t="shared" ref="I11:I14" si="2">IFERROR(G11/$G$6, 0)</f>
        <v>0</v>
      </c>
    </row>
    <row r="12" spans="1:11" ht="15.5" x14ac:dyDescent="0.35">
      <c r="A12" s="93" t="s">
        <v>45</v>
      </c>
      <c r="B12" s="94"/>
      <c r="C12" s="106">
        <v>10</v>
      </c>
      <c r="D12" s="126">
        <f>IF(B12="",0,IF(B12=0,C12, IF(B12&gt;0,B12,0)))</f>
        <v>0</v>
      </c>
      <c r="F12" s="64" t="s">
        <v>20</v>
      </c>
      <c r="G12" s="59">
        <f>IF($B$6&gt;0,(Korjuuketju!$G$7/Korjuuketju!$G$8)*Korjuuketju!G13,0)</f>
        <v>0</v>
      </c>
      <c r="H12" s="62">
        <f t="shared" si="1"/>
        <v>0</v>
      </c>
      <c r="I12" s="62">
        <f t="shared" si="2"/>
        <v>0</v>
      </c>
    </row>
    <row r="13" spans="1:11" ht="15.5" x14ac:dyDescent="0.35">
      <c r="A13" s="93" t="s">
        <v>75</v>
      </c>
      <c r="B13" s="108"/>
      <c r="C13" s="109">
        <v>16</v>
      </c>
      <c r="D13" s="126">
        <f t="shared" ref="D13:D15" si="3">IF(B13="",0,IF(B13=0,C13, IF(B13&gt;0,B13,0)))</f>
        <v>0</v>
      </c>
      <c r="F13" s="64" t="s">
        <v>22</v>
      </c>
      <c r="G13" s="59">
        <f>IF($B$6&gt;0,(Korjuuketju!$G$7/Korjuuketju!$G$8)*Korjuuketju!G14,0)</f>
        <v>0</v>
      </c>
      <c r="H13" s="62">
        <f t="shared" si="1"/>
        <v>0</v>
      </c>
      <c r="I13" s="62">
        <f t="shared" si="2"/>
        <v>0</v>
      </c>
    </row>
    <row r="14" spans="1:11" ht="15.5" x14ac:dyDescent="0.35">
      <c r="A14" s="93" t="s">
        <v>47</v>
      </c>
      <c r="B14" s="108"/>
      <c r="C14" s="109">
        <v>18</v>
      </c>
      <c r="D14" s="126">
        <f t="shared" si="3"/>
        <v>0</v>
      </c>
      <c r="F14" s="21" t="s">
        <v>95</v>
      </c>
      <c r="G14" s="59">
        <f>IF($B$6&gt;0,(Korjuuketju!$G$7/Korjuuketju!$G$8)*Korjuuketju!G15,0)</f>
        <v>0</v>
      </c>
      <c r="H14" s="62">
        <f t="shared" si="1"/>
        <v>0</v>
      </c>
      <c r="I14" s="62">
        <f t="shared" si="2"/>
        <v>0</v>
      </c>
    </row>
    <row r="15" spans="1:11" ht="15.5" x14ac:dyDescent="0.35">
      <c r="A15" s="93" t="s">
        <v>55</v>
      </c>
      <c r="B15" s="108"/>
      <c r="C15" s="109">
        <v>90</v>
      </c>
      <c r="D15" s="126">
        <f t="shared" si="3"/>
        <v>0</v>
      </c>
      <c r="F15" s="7" t="s">
        <v>24</v>
      </c>
      <c r="G15" s="141">
        <f>SUM(G10:G14)</f>
        <v>0</v>
      </c>
      <c r="H15" s="142">
        <f>SUM(H10:H14)</f>
        <v>0</v>
      </c>
      <c r="I15" s="142">
        <f>SUM(I10:I14)</f>
        <v>0</v>
      </c>
    </row>
    <row r="16" spans="1:11" ht="15.5" x14ac:dyDescent="0.35">
      <c r="A16" s="21"/>
      <c r="B16" s="21"/>
      <c r="C16" s="90"/>
      <c r="D16" s="134"/>
      <c r="F16" s="21"/>
      <c r="G16" s="21"/>
      <c r="H16" s="21"/>
      <c r="I16" s="21"/>
    </row>
    <row r="17" spans="1:9" ht="16" thickBot="1" x14ac:dyDescent="0.4">
      <c r="A17" s="15" t="s">
        <v>56</v>
      </c>
      <c r="B17" s="21"/>
      <c r="C17" s="21"/>
      <c r="D17" s="134"/>
      <c r="F17" s="82" t="s">
        <v>161</v>
      </c>
      <c r="G17" s="21" t="s">
        <v>12</v>
      </c>
      <c r="H17" s="21" t="s">
        <v>13</v>
      </c>
      <c r="I17" s="21" t="s">
        <v>14</v>
      </c>
    </row>
    <row r="18" spans="1:9" ht="16" thickBot="1" x14ac:dyDescent="0.4">
      <c r="A18" s="97" t="s">
        <v>57</v>
      </c>
      <c r="B18" s="135" t="str">
        <f>IFERROR((Korjuuketju!B11/D12)+(Korjuuketju!B12/D13)+(Korjuuketju!B13/D14),"")</f>
        <v/>
      </c>
      <c r="C18" s="136">
        <v>2400</v>
      </c>
      <c r="D18" s="137">
        <f>IF(B18="",0,IF(B18=0,C18, IF(B18&gt;0,B18,0)))</f>
        <v>0</v>
      </c>
      <c r="F18" s="64" t="s">
        <v>87</v>
      </c>
      <c r="G18" s="59">
        <f>IFERROR(((Kuormatraktori!$D$6-Kuormatraktori!$D$9)/Kuormatraktori!$D$7), 0)</f>
        <v>0</v>
      </c>
      <c r="H18" s="62">
        <f>IFERROR(G18/$G$7, 0)</f>
        <v>0</v>
      </c>
      <c r="I18" s="62">
        <f>IFERROR(G18/$G$6, 0)</f>
        <v>0</v>
      </c>
    </row>
    <row r="19" spans="1:9" ht="16" thickBot="1" x14ac:dyDescent="0.4">
      <c r="A19" s="97" t="s">
        <v>58</v>
      </c>
      <c r="B19" s="135" t="str">
        <f>IFERROR(B18*(100/B15),"")</f>
        <v/>
      </c>
      <c r="C19" s="138">
        <v>2800</v>
      </c>
      <c r="D19" s="139">
        <f>IF(B19="",0,IF(B19=0,C19, IF(B19&gt;0,B19,0)))</f>
        <v>0</v>
      </c>
      <c r="F19" s="64" t="s">
        <v>17</v>
      </c>
      <c r="G19" s="59">
        <f>IFERROR(($D$19*Korjuuketju!$D$61*(1+(Korjuuketju!$D$62/100))+($D$38*Korjuuketju!$D$54+Kuormatraktori!$D$39*Korjuuketju!$D$55+Kuormatraktori!$D$40*Korjuuketju!$D$56+Kuormatraktori!$D$41*Korjuuketju!$D$57)), 0)</f>
        <v>0</v>
      </c>
      <c r="H19" s="62">
        <f>IFERROR(G19/$G$7, 0)</f>
        <v>0</v>
      </c>
      <c r="I19" s="62">
        <f>IFERROR(G19/$G$6, 0)</f>
        <v>0</v>
      </c>
    </row>
    <row r="20" spans="1:9" ht="15.5" x14ac:dyDescent="0.35">
      <c r="F20" s="82" t="s">
        <v>24</v>
      </c>
      <c r="G20" s="143">
        <f>SUM(G18:G19)</f>
        <v>0</v>
      </c>
      <c r="H20" s="142">
        <f>SUM(H18:H19)</f>
        <v>0</v>
      </c>
      <c r="I20" s="142">
        <f>SUM(I18:I19)</f>
        <v>0</v>
      </c>
    </row>
    <row r="21" spans="1:9" ht="15.5" x14ac:dyDescent="0.35">
      <c r="F21" s="64"/>
      <c r="G21" s="71"/>
      <c r="H21" s="71"/>
      <c r="I21" s="71"/>
    </row>
    <row r="22" spans="1:9" ht="15.5" x14ac:dyDescent="0.35">
      <c r="F22" s="82" t="s">
        <v>162</v>
      </c>
      <c r="G22" s="21" t="s">
        <v>12</v>
      </c>
      <c r="H22" s="21" t="s">
        <v>13</v>
      </c>
      <c r="I22" s="21" t="s">
        <v>14</v>
      </c>
    </row>
    <row r="23" spans="1:9" ht="15.5" x14ac:dyDescent="0.35">
      <c r="F23" s="64" t="s">
        <v>27</v>
      </c>
      <c r="G23" s="59">
        <f>Kuormatraktori!$D$44*Korjuuketju!$D$19*Kuormatraktori!$D$18</f>
        <v>0</v>
      </c>
      <c r="H23" s="63">
        <f>IFERROR(G23/$G$7, 0)</f>
        <v>0</v>
      </c>
      <c r="I23" s="63">
        <f>IFERROR(G23/$G$6, 0)</f>
        <v>0</v>
      </c>
    </row>
    <row r="24" spans="1:9" ht="15.5" x14ac:dyDescent="0.35">
      <c r="F24" s="21" t="s">
        <v>134</v>
      </c>
      <c r="G24" s="59">
        <f>Kuormatraktori!$D$45*Kuormatraktori!$D$18*Korjuuketju!$D$23</f>
        <v>0</v>
      </c>
      <c r="H24" s="63">
        <f>IFERROR(G24/$G$7, 0)</f>
        <v>0</v>
      </c>
      <c r="I24" s="63">
        <f t="shared" ref="I24:I27" si="4">IFERROR(G24/$G$6, 0)</f>
        <v>0</v>
      </c>
    </row>
    <row r="25" spans="1:9" ht="15.5" x14ac:dyDescent="0.35">
      <c r="F25" s="21" t="s">
        <v>135</v>
      </c>
      <c r="G25" s="59">
        <f>Kuormatraktori!$D$48</f>
        <v>0</v>
      </c>
      <c r="H25" s="63">
        <f>IFERROR(G25/$G$7, 0)</f>
        <v>0</v>
      </c>
      <c r="I25" s="63">
        <f t="shared" si="4"/>
        <v>0</v>
      </c>
    </row>
    <row r="26" spans="1:9" ht="15.5" x14ac:dyDescent="0.35">
      <c r="F26" s="64" t="s">
        <v>30</v>
      </c>
      <c r="G26" s="59">
        <f>IF(Kuormatraktori!$D$6=0,0,Korjuuketju!$B$68/2)</f>
        <v>0</v>
      </c>
      <c r="H26" s="63">
        <f>IFERROR(G26/$G$7, 0)</f>
        <v>0</v>
      </c>
      <c r="I26" s="63">
        <f t="shared" si="4"/>
        <v>0</v>
      </c>
    </row>
    <row r="27" spans="1:9" ht="15.5" x14ac:dyDescent="0.35">
      <c r="F27" s="121" t="s">
        <v>31</v>
      </c>
      <c r="G27" s="59">
        <f>Kuormatraktori!$D$51</f>
        <v>0</v>
      </c>
      <c r="H27" s="63">
        <f>IFERROR(G27/$G$7, 0)</f>
        <v>0</v>
      </c>
      <c r="I27" s="63">
        <f t="shared" si="4"/>
        <v>0</v>
      </c>
    </row>
    <row r="28" spans="1:9" ht="15.5" x14ac:dyDescent="0.35">
      <c r="F28" s="82" t="s">
        <v>24</v>
      </c>
      <c r="G28" s="141">
        <f>SUM(G23:G27)</f>
        <v>0</v>
      </c>
      <c r="H28" s="85">
        <f>SUM(H23:H27)</f>
        <v>0</v>
      </c>
      <c r="I28" s="85">
        <f t="shared" ref="I28" si="5">SUM(I23:I27)</f>
        <v>0</v>
      </c>
    </row>
    <row r="29" spans="1:9" ht="15.5" x14ac:dyDescent="0.35">
      <c r="F29" s="82"/>
      <c r="G29" s="144"/>
      <c r="H29" s="145"/>
      <c r="I29" s="145"/>
    </row>
    <row r="30" spans="1:9" ht="15.5" x14ac:dyDescent="0.35">
      <c r="F30" s="82" t="s">
        <v>24</v>
      </c>
      <c r="G30" s="124">
        <f>SUM(G15,G20,G28)</f>
        <v>0</v>
      </c>
      <c r="H30" s="125">
        <f>SUM(H15,H20,H28)</f>
        <v>0</v>
      </c>
      <c r="I30" s="125">
        <f t="shared" ref="I30" si="6">SUM(I15,I20,I28)</f>
        <v>0</v>
      </c>
    </row>
    <row r="31" spans="1:9" x14ac:dyDescent="0.35">
      <c r="F31" s="1"/>
      <c r="G31" s="35"/>
      <c r="H31" s="36"/>
      <c r="I31" s="36"/>
    </row>
    <row r="32" spans="1:9" x14ac:dyDescent="0.35">
      <c r="F32" s="1"/>
      <c r="G32" s="35"/>
      <c r="H32" s="36"/>
      <c r="I32" s="36"/>
    </row>
    <row r="34" spans="1:4" s="11" customFormat="1" ht="15.5" x14ac:dyDescent="0.35">
      <c r="A34" s="10" t="s">
        <v>60</v>
      </c>
    </row>
    <row r="35" spans="1:4" s="11" customFormat="1" ht="15.5" x14ac:dyDescent="0.35">
      <c r="A35" s="10" t="s">
        <v>143</v>
      </c>
    </row>
    <row r="36" spans="1:4" s="9" customFormat="1" ht="15" customHeight="1" x14ac:dyDescent="0.35">
      <c r="A36" s="8"/>
    </row>
    <row r="37" spans="1:4" ht="15.5" x14ac:dyDescent="0.35">
      <c r="A37" s="15" t="s">
        <v>61</v>
      </c>
      <c r="B37" s="7" t="s">
        <v>3</v>
      </c>
      <c r="C37" s="7" t="s">
        <v>4</v>
      </c>
      <c r="D37" s="7" t="s">
        <v>96</v>
      </c>
    </row>
    <row r="38" spans="1:4" ht="15.5" x14ac:dyDescent="0.35">
      <c r="A38" s="21" t="s">
        <v>62</v>
      </c>
      <c r="B38" s="94"/>
      <c r="C38" s="95">
        <v>0</v>
      </c>
      <c r="D38" s="126">
        <f>IF(B38="",0,IF(B38=0,C38, IF(B38&gt;0,B38,0)))</f>
        <v>0</v>
      </c>
    </row>
    <row r="39" spans="1:4" ht="15.5" x14ac:dyDescent="0.35">
      <c r="A39" s="21" t="s">
        <v>63</v>
      </c>
      <c r="B39" s="108"/>
      <c r="C39" s="109">
        <v>150</v>
      </c>
      <c r="D39" s="127">
        <f t="shared" ref="D39:D51" si="7">IF(B39="",0,IF(B39=0,C39, IF(B39&gt;0,B39,0)))</f>
        <v>0</v>
      </c>
    </row>
    <row r="40" spans="1:4" ht="15.5" x14ac:dyDescent="0.35">
      <c r="A40" s="21" t="s">
        <v>76</v>
      </c>
      <c r="B40" s="108"/>
      <c r="C40" s="109">
        <v>70</v>
      </c>
      <c r="D40" s="127">
        <f t="shared" si="7"/>
        <v>0</v>
      </c>
    </row>
    <row r="41" spans="1:4" ht="15.5" x14ac:dyDescent="0.35">
      <c r="A41" s="21" t="s">
        <v>65</v>
      </c>
      <c r="B41" s="108"/>
      <c r="C41" s="109">
        <v>50</v>
      </c>
      <c r="D41" s="127">
        <f t="shared" si="7"/>
        <v>0</v>
      </c>
    </row>
    <row r="42" spans="1:4" ht="15.5" x14ac:dyDescent="0.35">
      <c r="A42" s="21"/>
      <c r="B42" s="21"/>
      <c r="C42" s="21"/>
      <c r="D42" s="93"/>
    </row>
    <row r="43" spans="1:4" ht="15.5" x14ac:dyDescent="0.35">
      <c r="A43" s="13" t="s">
        <v>66</v>
      </c>
      <c r="B43" s="7" t="s">
        <v>3</v>
      </c>
      <c r="C43" s="7" t="s">
        <v>4</v>
      </c>
      <c r="D43" s="7" t="s">
        <v>96</v>
      </c>
    </row>
    <row r="44" spans="1:4" ht="15.5" x14ac:dyDescent="0.35">
      <c r="A44" s="21" t="s">
        <v>67</v>
      </c>
      <c r="B44" s="91"/>
      <c r="C44" s="129">
        <v>13</v>
      </c>
      <c r="D44" s="127">
        <f t="shared" si="7"/>
        <v>0</v>
      </c>
    </row>
    <row r="45" spans="1:4" ht="15.5" x14ac:dyDescent="0.35">
      <c r="A45" s="21" t="s">
        <v>136</v>
      </c>
      <c r="B45" s="91"/>
      <c r="C45" s="129">
        <v>0.9</v>
      </c>
      <c r="D45" s="127">
        <f t="shared" si="7"/>
        <v>0</v>
      </c>
    </row>
    <row r="46" spans="1:4" ht="15.5" x14ac:dyDescent="0.35">
      <c r="A46" s="21"/>
      <c r="B46" s="21"/>
      <c r="C46" s="90"/>
      <c r="D46" s="93"/>
    </row>
    <row r="47" spans="1:4" ht="15.5" x14ac:dyDescent="0.35">
      <c r="A47" s="7" t="s">
        <v>69</v>
      </c>
      <c r="B47" s="7" t="s">
        <v>3</v>
      </c>
      <c r="C47" s="7" t="s">
        <v>4</v>
      </c>
      <c r="D47" s="7" t="s">
        <v>96</v>
      </c>
    </row>
    <row r="48" spans="1:4" ht="15.5" x14ac:dyDescent="0.35">
      <c r="A48" s="21" t="s">
        <v>139</v>
      </c>
      <c r="B48" s="47"/>
      <c r="C48" s="48">
        <v>45000</v>
      </c>
      <c r="D48" s="126">
        <f t="shared" si="7"/>
        <v>0</v>
      </c>
    </row>
    <row r="49" spans="1:5" ht="15.5" x14ac:dyDescent="0.35">
      <c r="A49" s="21"/>
      <c r="B49" s="21"/>
      <c r="C49" s="90"/>
      <c r="D49" s="93"/>
      <c r="E49" s="16"/>
    </row>
    <row r="50" spans="1:5" ht="15.5" x14ac:dyDescent="0.35">
      <c r="A50" s="7" t="s">
        <v>70</v>
      </c>
      <c r="B50" s="7" t="s">
        <v>3</v>
      </c>
      <c r="C50" s="7" t="s">
        <v>4</v>
      </c>
      <c r="D50" s="7" t="s">
        <v>96</v>
      </c>
      <c r="E50" s="16"/>
    </row>
    <row r="51" spans="1:5" ht="15.5" x14ac:dyDescent="0.35">
      <c r="A51" s="21" t="s">
        <v>138</v>
      </c>
      <c r="B51" s="47"/>
      <c r="C51" s="48">
        <v>30000</v>
      </c>
      <c r="D51" s="126">
        <f t="shared" si="7"/>
        <v>0</v>
      </c>
    </row>
  </sheetData>
  <phoneticPr fontId="8"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F2F6-4F3D-F44E-A602-039FBF3D9694}">
  <dimension ref="A1:M65"/>
  <sheetViews>
    <sheetView zoomScaleNormal="100" workbookViewId="0">
      <selection activeCell="B11" sqref="B11"/>
    </sheetView>
  </sheetViews>
  <sheetFormatPr defaultColWidth="11.453125" defaultRowHeight="14.5" x14ac:dyDescent="0.35"/>
  <cols>
    <col min="1" max="1" width="41.1796875" style="3" customWidth="1"/>
    <col min="2" max="2" width="28.453125" style="3" customWidth="1"/>
    <col min="3" max="3" width="11.453125" style="3" customWidth="1"/>
    <col min="4" max="4" width="7.54296875" style="3" customWidth="1"/>
    <col min="5" max="5" width="8.1796875" style="3" customWidth="1"/>
    <col min="6" max="6" width="4.54296875" style="3" customWidth="1"/>
    <col min="7" max="7" width="13.54296875" style="3" customWidth="1"/>
    <col min="8" max="8" width="10.54296875" style="3" customWidth="1"/>
    <col min="9" max="9" width="9.1796875" style="3" customWidth="1"/>
    <col min="10" max="10" width="3" style="3" customWidth="1"/>
    <col min="11" max="11" width="10.54296875" style="3" customWidth="1"/>
    <col min="12" max="12" width="7.453125" style="3" customWidth="1"/>
    <col min="13" max="13" width="10.81640625" style="3" customWidth="1"/>
    <col min="14" max="16384" width="11.453125" style="3"/>
  </cols>
  <sheetData>
    <row r="1" spans="1:13" s="5" customFormat="1" ht="18.5" x14ac:dyDescent="0.45">
      <c r="A1" s="6" t="s">
        <v>1</v>
      </c>
    </row>
    <row r="2" spans="1:13" s="17" customFormat="1" ht="18.5" x14ac:dyDescent="0.45">
      <c r="A2" s="22" t="s">
        <v>77</v>
      </c>
    </row>
    <row r="3" spans="1:13" ht="19" thickBot="1" x14ac:dyDescent="0.5">
      <c r="A3" s="20"/>
    </row>
    <row r="4" spans="1:13" ht="16" thickBot="1" x14ac:dyDescent="0.4">
      <c r="A4" s="7"/>
      <c r="B4" s="33" t="s">
        <v>98</v>
      </c>
      <c r="C4" s="146"/>
      <c r="D4" s="146"/>
      <c r="E4" s="147"/>
      <c r="F4" s="21"/>
      <c r="G4" s="33" t="s">
        <v>78</v>
      </c>
      <c r="H4" s="146"/>
      <c r="I4" s="147"/>
      <c r="J4" s="21"/>
      <c r="K4" s="33" t="s">
        <v>97</v>
      </c>
      <c r="L4" s="146"/>
      <c r="M4" s="147"/>
    </row>
    <row r="5" spans="1:13" ht="16" thickBot="1" x14ac:dyDescent="0.4">
      <c r="A5" s="21" t="s">
        <v>5</v>
      </c>
      <c r="B5" s="148">
        <v>0</v>
      </c>
      <c r="C5" s="149">
        <f>Korjuuketju!G5</f>
        <v>0</v>
      </c>
      <c r="D5" s="21" t="s">
        <v>6</v>
      </c>
      <c r="E5" s="150"/>
      <c r="F5" s="21"/>
      <c r="G5" s="151">
        <f>IFERROR(((100+B5)/100)*C5,"")</f>
        <v>0</v>
      </c>
      <c r="H5" s="21" t="s">
        <v>79</v>
      </c>
      <c r="I5" s="152"/>
      <c r="J5" s="21"/>
      <c r="K5" s="153">
        <f>IFERROR(G5-C5,"")</f>
        <v>0</v>
      </c>
      <c r="L5" s="21" t="s">
        <v>79</v>
      </c>
      <c r="M5" s="152"/>
    </row>
    <row r="6" spans="1:13" ht="16" thickBot="1" x14ac:dyDescent="0.4">
      <c r="A6" s="21" t="s">
        <v>8</v>
      </c>
      <c r="B6" s="154">
        <v>0</v>
      </c>
      <c r="C6" s="59">
        <f>Korjuuketju!G8</f>
        <v>0</v>
      </c>
      <c r="D6" s="21" t="s">
        <v>9</v>
      </c>
      <c r="E6" s="150"/>
      <c r="F6" s="21"/>
      <c r="G6" s="155">
        <f>((100+B6)/100)*C6</f>
        <v>0</v>
      </c>
      <c r="H6" s="21" t="s">
        <v>9</v>
      </c>
      <c r="I6" s="152"/>
      <c r="J6" s="21"/>
      <c r="K6" s="156">
        <f>G6-C6</f>
        <v>0</v>
      </c>
      <c r="L6" s="21" t="s">
        <v>80</v>
      </c>
      <c r="M6" s="152"/>
    </row>
    <row r="7" spans="1:13" ht="15.5" x14ac:dyDescent="0.35">
      <c r="A7" s="21"/>
      <c r="B7" s="157"/>
      <c r="C7" s="21"/>
      <c r="D7" s="21"/>
      <c r="E7" s="152"/>
      <c r="F7" s="21"/>
      <c r="G7" s="157"/>
      <c r="H7" s="21"/>
      <c r="I7" s="152"/>
      <c r="J7" s="21"/>
      <c r="K7" s="157"/>
      <c r="L7" s="21"/>
      <c r="M7" s="152"/>
    </row>
    <row r="8" spans="1:13" ht="31.4" customHeight="1" thickBot="1" x14ac:dyDescent="0.4">
      <c r="A8" s="82" t="s">
        <v>11</v>
      </c>
      <c r="B8" s="29" t="s">
        <v>81</v>
      </c>
      <c r="C8" s="21" t="s">
        <v>12</v>
      </c>
      <c r="D8" s="21" t="s">
        <v>13</v>
      </c>
      <c r="E8" s="152" t="s">
        <v>14</v>
      </c>
      <c r="F8" s="21"/>
      <c r="G8" s="157" t="s">
        <v>12</v>
      </c>
      <c r="H8" s="21" t="s">
        <v>82</v>
      </c>
      <c r="I8" s="152" t="s">
        <v>14</v>
      </c>
      <c r="J8" s="21"/>
      <c r="K8" s="157" t="s">
        <v>12</v>
      </c>
      <c r="L8" s="21" t="s">
        <v>82</v>
      </c>
      <c r="M8" s="152" t="s">
        <v>147</v>
      </c>
    </row>
    <row r="9" spans="1:13" ht="16" thickBot="1" x14ac:dyDescent="0.4">
      <c r="A9" s="64" t="s">
        <v>2</v>
      </c>
      <c r="B9" s="158">
        <v>0</v>
      </c>
      <c r="C9" s="59">
        <f>Korjuuketju!G18+Korjuuketju!G22</f>
        <v>0</v>
      </c>
      <c r="D9" s="63">
        <f>IFERROR(C9/$C$6,0)</f>
        <v>0</v>
      </c>
      <c r="E9" s="63">
        <f>IFERROR(D9/$C$6,0)</f>
        <v>0</v>
      </c>
      <c r="F9" s="21"/>
      <c r="G9" s="159">
        <f>((100+B9)/100)*C9</f>
        <v>0</v>
      </c>
      <c r="H9" s="63">
        <f>IFERROR(G9/$G$6,0)</f>
        <v>0</v>
      </c>
      <c r="I9" s="63">
        <f>IFERROR(H9/$G$6,0)</f>
        <v>0</v>
      </c>
      <c r="J9" s="21"/>
      <c r="K9" s="160">
        <f>G9-C9</f>
        <v>0</v>
      </c>
      <c r="L9" s="63">
        <f>IFERROR(H9-D9,"")</f>
        <v>0</v>
      </c>
      <c r="M9" s="161">
        <f>IFERROR(I9-E9,"")</f>
        <v>0</v>
      </c>
    </row>
    <row r="10" spans="1:13" ht="16" thickBot="1" x14ac:dyDescent="0.4">
      <c r="A10" s="21" t="s">
        <v>16</v>
      </c>
      <c r="B10" s="158">
        <v>0</v>
      </c>
      <c r="C10" s="59">
        <f>Korjuuketju!G11</f>
        <v>0</v>
      </c>
      <c r="D10" s="63">
        <f t="shared" ref="D10:E10" si="0">IFERROR(C10/$C$6,0)</f>
        <v>0</v>
      </c>
      <c r="E10" s="63">
        <f t="shared" si="0"/>
        <v>0</v>
      </c>
      <c r="F10" s="21"/>
      <c r="G10" s="159">
        <f t="shared" ref="G10:G14" si="1">((100+B10)/100)*C10</f>
        <v>0</v>
      </c>
      <c r="H10" s="63">
        <f t="shared" ref="H10:I10" si="2">IFERROR(G10/$G$6,0)</f>
        <v>0</v>
      </c>
      <c r="I10" s="63">
        <f t="shared" si="2"/>
        <v>0</v>
      </c>
      <c r="J10" s="21"/>
      <c r="K10" s="160">
        <f t="shared" ref="K10:K14" si="3">G10-C10</f>
        <v>0</v>
      </c>
      <c r="L10" s="63">
        <f t="shared" ref="L10:L14" si="4">IFERROR(H10-D10,"")</f>
        <v>0</v>
      </c>
      <c r="M10" s="161">
        <f t="shared" ref="M10:M14" si="5">IFERROR(I10-E10,"")</f>
        <v>0</v>
      </c>
    </row>
    <row r="11" spans="1:13" ht="16" thickBot="1" x14ac:dyDescent="0.4">
      <c r="A11" s="64" t="s">
        <v>17</v>
      </c>
      <c r="B11" s="158">
        <v>0</v>
      </c>
      <c r="C11" s="59">
        <f>Korjuuketju!G19+Korjuuketju!G23+Korjuuketju!D63</f>
        <v>0</v>
      </c>
      <c r="D11" s="63">
        <f t="shared" ref="D11:E11" si="6">IFERROR(C11/$C$6,0)</f>
        <v>0</v>
      </c>
      <c r="E11" s="63">
        <f t="shared" si="6"/>
        <v>0</v>
      </c>
      <c r="F11" s="21"/>
      <c r="G11" s="159">
        <f t="shared" si="1"/>
        <v>0</v>
      </c>
      <c r="H11" s="63">
        <f t="shared" ref="H11:I11" si="7">IFERROR(G11/$G$6,0)</f>
        <v>0</v>
      </c>
      <c r="I11" s="63">
        <f t="shared" si="7"/>
        <v>0</v>
      </c>
      <c r="J11" s="21"/>
      <c r="K11" s="160">
        <f t="shared" si="3"/>
        <v>0</v>
      </c>
      <c r="L11" s="63">
        <f t="shared" si="4"/>
        <v>0</v>
      </c>
      <c r="M11" s="161">
        <f t="shared" si="5"/>
        <v>0</v>
      </c>
    </row>
    <row r="12" spans="1:13" ht="16" thickBot="1" x14ac:dyDescent="0.4">
      <c r="A12" s="64" t="s">
        <v>18</v>
      </c>
      <c r="B12" s="158">
        <v>0</v>
      </c>
      <c r="C12" s="59">
        <f>Korjuuketju!G12</f>
        <v>0</v>
      </c>
      <c r="D12" s="63">
        <f t="shared" ref="D12:E12" si="8">IFERROR(C12/$C$6,0)</f>
        <v>0</v>
      </c>
      <c r="E12" s="63">
        <f t="shared" si="8"/>
        <v>0</v>
      </c>
      <c r="F12" s="21"/>
      <c r="G12" s="159">
        <f t="shared" si="1"/>
        <v>0</v>
      </c>
      <c r="H12" s="63">
        <f t="shared" ref="H12:I12" si="9">IFERROR(G12/$G$6,0)</f>
        <v>0</v>
      </c>
      <c r="I12" s="63">
        <f t="shared" si="9"/>
        <v>0</v>
      </c>
      <c r="J12" s="21"/>
      <c r="K12" s="160">
        <f t="shared" si="3"/>
        <v>0</v>
      </c>
      <c r="L12" s="63">
        <f t="shared" si="4"/>
        <v>0</v>
      </c>
      <c r="M12" s="161">
        <f t="shared" si="5"/>
        <v>0</v>
      </c>
    </row>
    <row r="13" spans="1:13" ht="16" thickBot="1" x14ac:dyDescent="0.4">
      <c r="A13" s="64" t="s">
        <v>20</v>
      </c>
      <c r="B13" s="158">
        <v>0</v>
      </c>
      <c r="C13" s="59">
        <f>Korjuuketju!G13</f>
        <v>0</v>
      </c>
      <c r="D13" s="63">
        <f t="shared" ref="D13:E13" si="10">IFERROR(C13/$C$6,0)</f>
        <v>0</v>
      </c>
      <c r="E13" s="63">
        <f t="shared" si="10"/>
        <v>0</v>
      </c>
      <c r="F13" s="21"/>
      <c r="G13" s="159">
        <f t="shared" si="1"/>
        <v>0</v>
      </c>
      <c r="H13" s="63">
        <f t="shared" ref="H13:I13" si="11">IFERROR(G13/$G$6,0)</f>
        <v>0</v>
      </c>
      <c r="I13" s="63">
        <f t="shared" si="11"/>
        <v>0</v>
      </c>
      <c r="J13" s="21"/>
      <c r="K13" s="160">
        <f t="shared" si="3"/>
        <v>0</v>
      </c>
      <c r="L13" s="63">
        <f t="shared" si="4"/>
        <v>0</v>
      </c>
      <c r="M13" s="161">
        <f t="shared" si="5"/>
        <v>0</v>
      </c>
    </row>
    <row r="14" spans="1:13" ht="16" thickBot="1" x14ac:dyDescent="0.4">
      <c r="A14" s="64" t="s">
        <v>22</v>
      </c>
      <c r="B14" s="158">
        <v>0</v>
      </c>
      <c r="C14" s="59">
        <f>Korjuuketju!G14</f>
        <v>0</v>
      </c>
      <c r="D14" s="63">
        <f t="shared" ref="D14:E14" si="12">IFERROR(C14/$C$6,0)</f>
        <v>0</v>
      </c>
      <c r="E14" s="63">
        <f t="shared" si="12"/>
        <v>0</v>
      </c>
      <c r="F14" s="21"/>
      <c r="G14" s="159">
        <f t="shared" si="1"/>
        <v>0</v>
      </c>
      <c r="H14" s="63">
        <f t="shared" ref="H14:I14" si="13">IFERROR(G14/$G$6,0)</f>
        <v>0</v>
      </c>
      <c r="I14" s="63">
        <f t="shared" si="13"/>
        <v>0</v>
      </c>
      <c r="J14" s="21"/>
      <c r="K14" s="160">
        <f t="shared" si="3"/>
        <v>0</v>
      </c>
      <c r="L14" s="63">
        <f t="shared" si="4"/>
        <v>0</v>
      </c>
      <c r="M14" s="161">
        <f t="shared" si="5"/>
        <v>0</v>
      </c>
    </row>
    <row r="15" spans="1:13" ht="15.5" x14ac:dyDescent="0.35">
      <c r="A15" s="7" t="s">
        <v>83</v>
      </c>
      <c r="B15" s="162">
        <f>AVERAGE(B9:B14)</f>
        <v>0</v>
      </c>
      <c r="C15" s="79"/>
      <c r="D15" s="21"/>
      <c r="E15" s="152"/>
      <c r="F15" s="21"/>
      <c r="G15" s="163"/>
      <c r="H15" s="21"/>
      <c r="I15" s="152"/>
      <c r="J15" s="21"/>
      <c r="K15" s="157"/>
      <c r="L15" s="21"/>
      <c r="M15" s="152"/>
    </row>
    <row r="16" spans="1:13" ht="15.5" x14ac:dyDescent="0.35">
      <c r="A16" s="82" t="s">
        <v>24</v>
      </c>
      <c r="B16" s="157"/>
      <c r="C16" s="76">
        <f>SUM(C9:C14)</f>
        <v>0</v>
      </c>
      <c r="D16" s="77">
        <f>SUM(D9:D14)</f>
        <v>0</v>
      </c>
      <c r="E16" s="164">
        <f>SUM(E9:E14)</f>
        <v>0</v>
      </c>
      <c r="F16" s="21"/>
      <c r="G16" s="165">
        <f>SUM(G9:G14)</f>
        <v>0</v>
      </c>
      <c r="H16" s="166">
        <f>SUM(H9:H14)</f>
        <v>0</v>
      </c>
      <c r="I16" s="167">
        <f>SUM(I9:I14)</f>
        <v>0</v>
      </c>
      <c r="J16" s="21"/>
      <c r="K16" s="168">
        <f>SUM(K9:K14)</f>
        <v>0</v>
      </c>
      <c r="L16" s="169">
        <f>SUM(L9:L14)</f>
        <v>0</v>
      </c>
      <c r="M16" s="167">
        <f>SUM(M9:M14)</f>
        <v>0</v>
      </c>
    </row>
    <row r="17" spans="1:13" ht="15.5" x14ac:dyDescent="0.35">
      <c r="A17" s="21"/>
      <c r="B17" s="157"/>
      <c r="C17" s="21"/>
      <c r="D17" s="21"/>
      <c r="E17" s="152"/>
      <c r="F17" s="21"/>
      <c r="G17" s="157"/>
      <c r="H17" s="21"/>
      <c r="I17" s="152"/>
      <c r="J17" s="21"/>
      <c r="K17" s="157"/>
      <c r="L17" s="21"/>
      <c r="M17" s="152"/>
    </row>
    <row r="18" spans="1:13" ht="16" thickBot="1" x14ac:dyDescent="0.4">
      <c r="A18" s="82" t="s">
        <v>26</v>
      </c>
      <c r="B18" s="23" t="s">
        <v>81</v>
      </c>
      <c r="C18" s="21" t="s">
        <v>12</v>
      </c>
      <c r="D18" s="21" t="s">
        <v>13</v>
      </c>
      <c r="E18" s="152" t="s">
        <v>14</v>
      </c>
      <c r="F18" s="21"/>
      <c r="G18" s="157" t="s">
        <v>146</v>
      </c>
      <c r="H18" s="21" t="s">
        <v>82</v>
      </c>
      <c r="I18" s="152" t="s">
        <v>147</v>
      </c>
      <c r="J18" s="21"/>
      <c r="K18" s="157" t="s">
        <v>146</v>
      </c>
      <c r="L18" s="21" t="s">
        <v>82</v>
      </c>
      <c r="M18" s="152" t="s">
        <v>147</v>
      </c>
    </row>
    <row r="19" spans="1:13" ht="16" thickBot="1" x14ac:dyDescent="0.4">
      <c r="A19" s="64" t="s">
        <v>27</v>
      </c>
      <c r="B19" s="158">
        <v>0</v>
      </c>
      <c r="C19" s="59">
        <f>Korjuuketju!G30+Korjuuketju!G39</f>
        <v>0</v>
      </c>
      <c r="D19" s="63">
        <f>IFERROR(C19/$C$6,0)</f>
        <v>0</v>
      </c>
      <c r="E19" s="63">
        <f>IFERROR(D19/$C$6,0)</f>
        <v>0</v>
      </c>
      <c r="F19" s="21"/>
      <c r="G19" s="159">
        <f>((100+B19)/100)*C19</f>
        <v>0</v>
      </c>
      <c r="H19" s="63">
        <f>IFERROR(G19/$G$6,0)</f>
        <v>0</v>
      </c>
      <c r="I19" s="63">
        <f>IFERROR(H19/$G$6,0)</f>
        <v>0</v>
      </c>
      <c r="J19" s="21"/>
      <c r="K19" s="160">
        <f>G19-C19</f>
        <v>0</v>
      </c>
      <c r="L19" s="63">
        <f>IFERROR(H19-D19,"")</f>
        <v>0</v>
      </c>
      <c r="M19" s="161">
        <f>IFERROR(I19-E19,"")</f>
        <v>0</v>
      </c>
    </row>
    <row r="20" spans="1:13" ht="16" thickBot="1" x14ac:dyDescent="0.4">
      <c r="A20" s="64" t="s">
        <v>134</v>
      </c>
      <c r="B20" s="158">
        <v>0</v>
      </c>
      <c r="C20" s="59">
        <f>Korjuuketju!G31+Korjuuketju!G40</f>
        <v>0</v>
      </c>
      <c r="D20" s="63">
        <f t="shared" ref="D20:E20" si="14">IFERROR(C20/$C$6,0)</f>
        <v>0</v>
      </c>
      <c r="E20" s="63">
        <f t="shared" si="14"/>
        <v>0</v>
      </c>
      <c r="F20" s="21"/>
      <c r="G20" s="159">
        <f>((100+B20)/100)*C20</f>
        <v>0</v>
      </c>
      <c r="H20" s="63">
        <f t="shared" ref="H20:I20" si="15">IFERROR(G20/$G$6,0)</f>
        <v>0</v>
      </c>
      <c r="I20" s="63">
        <f t="shared" si="15"/>
        <v>0</v>
      </c>
      <c r="J20" s="21"/>
      <c r="K20" s="160">
        <f>G20-C20</f>
        <v>0</v>
      </c>
      <c r="L20" s="63">
        <f t="shared" ref="L20:L25" si="16">IFERROR(H20-D20,"")</f>
        <v>0</v>
      </c>
      <c r="M20" s="161">
        <f t="shared" ref="M20:M25" si="17">IFERROR(I20-E20,"")</f>
        <v>0</v>
      </c>
    </row>
    <row r="21" spans="1:13" ht="16" thickBot="1" x14ac:dyDescent="0.4">
      <c r="A21" s="64" t="s">
        <v>135</v>
      </c>
      <c r="B21" s="158">
        <v>0</v>
      </c>
      <c r="C21" s="59">
        <f>Korjuuketju!G32+Korjuuketju!G41</f>
        <v>0</v>
      </c>
      <c r="D21" s="63">
        <f t="shared" ref="D21:E21" si="18">IFERROR(C21/$C$6,0)</f>
        <v>0</v>
      </c>
      <c r="E21" s="63">
        <f t="shared" si="18"/>
        <v>0</v>
      </c>
      <c r="F21" s="21"/>
      <c r="G21" s="159">
        <f t="shared" ref="G21:G25" si="19">((100+B21)/100)*C21</f>
        <v>0</v>
      </c>
      <c r="H21" s="63">
        <f t="shared" ref="H21:I21" si="20">IFERROR(G21/$G$6,0)</f>
        <v>0</v>
      </c>
      <c r="I21" s="63">
        <f t="shared" si="20"/>
        <v>0</v>
      </c>
      <c r="J21" s="21"/>
      <c r="K21" s="160">
        <f t="shared" ref="K21:K25" si="21">G21-C21</f>
        <v>0</v>
      </c>
      <c r="L21" s="63">
        <f t="shared" si="16"/>
        <v>0</v>
      </c>
      <c r="M21" s="161">
        <f t="shared" si="17"/>
        <v>0</v>
      </c>
    </row>
    <row r="22" spans="1:13" ht="16" thickBot="1" x14ac:dyDescent="0.4">
      <c r="A22" s="64" t="s">
        <v>29</v>
      </c>
      <c r="B22" s="158">
        <v>0</v>
      </c>
      <c r="C22" s="59">
        <f>Korjuuketju!G33</f>
        <v>0</v>
      </c>
      <c r="D22" s="63">
        <f t="shared" ref="D22:E22" si="22">IFERROR(C22/$C$6,0)</f>
        <v>0</v>
      </c>
      <c r="E22" s="63">
        <f t="shared" si="22"/>
        <v>0</v>
      </c>
      <c r="F22" s="21"/>
      <c r="G22" s="159">
        <f t="shared" si="19"/>
        <v>0</v>
      </c>
      <c r="H22" s="63">
        <f t="shared" ref="H22:I22" si="23">IFERROR(G22/$G$6,0)</f>
        <v>0</v>
      </c>
      <c r="I22" s="63">
        <f t="shared" si="23"/>
        <v>0</v>
      </c>
      <c r="J22" s="21"/>
      <c r="K22" s="160">
        <f t="shared" si="21"/>
        <v>0</v>
      </c>
      <c r="L22" s="63">
        <f t="shared" si="16"/>
        <v>0</v>
      </c>
      <c r="M22" s="161">
        <f t="shared" si="17"/>
        <v>0</v>
      </c>
    </row>
    <row r="23" spans="1:13" ht="16" thickBot="1" x14ac:dyDescent="0.4">
      <c r="A23" s="64" t="s">
        <v>145</v>
      </c>
      <c r="B23" s="158">
        <v>0</v>
      </c>
      <c r="C23" s="59">
        <f>Korjuuketju!G34</f>
        <v>0</v>
      </c>
      <c r="D23" s="63">
        <f t="shared" ref="D23:E23" si="24">IFERROR(C23/$C$6,0)</f>
        <v>0</v>
      </c>
      <c r="E23" s="63">
        <f t="shared" si="24"/>
        <v>0</v>
      </c>
      <c r="F23" s="21"/>
      <c r="G23" s="159">
        <f t="shared" si="19"/>
        <v>0</v>
      </c>
      <c r="H23" s="63">
        <f t="shared" ref="H23:I23" si="25">IFERROR(G23/$G$6,0)</f>
        <v>0</v>
      </c>
      <c r="I23" s="63">
        <f t="shared" si="25"/>
        <v>0</v>
      </c>
      <c r="J23" s="21"/>
      <c r="K23" s="160">
        <f t="shared" si="21"/>
        <v>0</v>
      </c>
      <c r="L23" s="63">
        <f t="shared" si="16"/>
        <v>0</v>
      </c>
      <c r="M23" s="161">
        <f t="shared" si="17"/>
        <v>0</v>
      </c>
    </row>
    <row r="24" spans="1:13" ht="16" thickBot="1" x14ac:dyDescent="0.4">
      <c r="A24" s="64" t="s">
        <v>30</v>
      </c>
      <c r="B24" s="158">
        <v>0</v>
      </c>
      <c r="C24" s="59">
        <f>Hakkuukone!G28+Kuormatraktori!G26</f>
        <v>0</v>
      </c>
      <c r="D24" s="63">
        <f t="shared" ref="D24:E24" si="26">IFERROR(C24/$C$6,0)</f>
        <v>0</v>
      </c>
      <c r="E24" s="63">
        <f t="shared" si="26"/>
        <v>0</v>
      </c>
      <c r="F24" s="21"/>
      <c r="G24" s="159">
        <f t="shared" si="19"/>
        <v>0</v>
      </c>
      <c r="H24" s="63">
        <f t="shared" ref="H24:I24" si="27">IFERROR(G24/$G$6,0)</f>
        <v>0</v>
      </c>
      <c r="I24" s="63">
        <f t="shared" si="27"/>
        <v>0</v>
      </c>
      <c r="J24" s="21"/>
      <c r="K24" s="160">
        <f t="shared" si="21"/>
        <v>0</v>
      </c>
      <c r="L24" s="63">
        <f t="shared" si="16"/>
        <v>0</v>
      </c>
      <c r="M24" s="161">
        <f t="shared" si="17"/>
        <v>0</v>
      </c>
    </row>
    <row r="25" spans="1:13" ht="16" thickBot="1" x14ac:dyDescent="0.4">
      <c r="A25" s="121" t="s">
        <v>31</v>
      </c>
      <c r="B25" s="158">
        <v>0</v>
      </c>
      <c r="C25" s="59">
        <f>Korjuuketju!G36+Korjuuketju!G43</f>
        <v>0</v>
      </c>
      <c r="D25" s="63">
        <f t="shared" ref="D25:E25" si="28">IFERROR(C25/$C$6,0)</f>
        <v>0</v>
      </c>
      <c r="E25" s="63">
        <f t="shared" si="28"/>
        <v>0</v>
      </c>
      <c r="F25" s="21"/>
      <c r="G25" s="159">
        <f t="shared" si="19"/>
        <v>0</v>
      </c>
      <c r="H25" s="63">
        <f t="shared" ref="H25:I25" si="29">IFERROR(G25/$G$6,0)</f>
        <v>0</v>
      </c>
      <c r="I25" s="63">
        <f t="shared" si="29"/>
        <v>0</v>
      </c>
      <c r="J25" s="21"/>
      <c r="K25" s="160">
        <f t="shared" si="21"/>
        <v>0</v>
      </c>
      <c r="L25" s="63">
        <f t="shared" si="16"/>
        <v>0</v>
      </c>
      <c r="M25" s="161">
        <f t="shared" si="17"/>
        <v>0</v>
      </c>
    </row>
    <row r="26" spans="1:13" ht="15.5" x14ac:dyDescent="0.35">
      <c r="A26" s="7" t="s">
        <v>83</v>
      </c>
      <c r="B26" s="162">
        <f>AVERAGE(B19:B25)</f>
        <v>0</v>
      </c>
      <c r="C26" s="79"/>
      <c r="D26" s="21"/>
      <c r="E26" s="152"/>
      <c r="F26" s="21"/>
      <c r="G26" s="163"/>
      <c r="H26" s="21"/>
      <c r="I26" s="152"/>
      <c r="J26" s="21"/>
      <c r="K26" s="157"/>
      <c r="L26" s="21"/>
      <c r="M26" s="152"/>
    </row>
    <row r="27" spans="1:13" ht="15.5" x14ac:dyDescent="0.35">
      <c r="A27" s="82" t="s">
        <v>24</v>
      </c>
      <c r="B27" s="157"/>
      <c r="C27" s="76">
        <f>SUM(C19:C25)</f>
        <v>0</v>
      </c>
      <c r="D27" s="78">
        <f>SUM(D19:D25)</f>
        <v>0</v>
      </c>
      <c r="E27" s="170">
        <f>SUM(E19:E25)</f>
        <v>0</v>
      </c>
      <c r="F27" s="21"/>
      <c r="G27" s="165">
        <f>SUM(G19:G25)</f>
        <v>0</v>
      </c>
      <c r="H27" s="78">
        <f>SUM(H19:H25)</f>
        <v>0</v>
      </c>
      <c r="I27" s="170">
        <f>SUM(I19:I25)</f>
        <v>0</v>
      </c>
      <c r="J27" s="21"/>
      <c r="K27" s="168">
        <f>SUM(K19:K25)</f>
        <v>0</v>
      </c>
      <c r="L27" s="78">
        <f>SUM(L19:L25)</f>
        <v>0</v>
      </c>
      <c r="M27" s="167">
        <f>SUM(M19:M25)</f>
        <v>0</v>
      </c>
    </row>
    <row r="28" spans="1:13" ht="16" thickBot="1" x14ac:dyDescent="0.4">
      <c r="A28" s="82"/>
      <c r="B28" s="162"/>
      <c r="C28" s="171"/>
      <c r="D28" s="172"/>
      <c r="E28" s="173"/>
      <c r="F28" s="21"/>
      <c r="G28" s="174"/>
      <c r="H28" s="81"/>
      <c r="I28" s="173"/>
      <c r="J28" s="21"/>
      <c r="K28" s="175"/>
      <c r="L28" s="81"/>
      <c r="M28" s="173"/>
    </row>
    <row r="29" spans="1:13" ht="16" thickBot="1" x14ac:dyDescent="0.4">
      <c r="A29" s="82" t="s">
        <v>24</v>
      </c>
      <c r="B29" s="176"/>
      <c r="C29" s="88">
        <f>C16+C27</f>
        <v>0</v>
      </c>
      <c r="D29" s="89">
        <f>D16+D27</f>
        <v>0</v>
      </c>
      <c r="E29" s="177">
        <f>E16+E27</f>
        <v>0</v>
      </c>
      <c r="F29" s="21"/>
      <c r="G29" s="88">
        <f>G16+G27</f>
        <v>0</v>
      </c>
      <c r="H29" s="89">
        <f>H16+H27</f>
        <v>0</v>
      </c>
      <c r="I29" s="177">
        <f>I16+I27</f>
        <v>0</v>
      </c>
      <c r="J29" s="21"/>
      <c r="K29" s="178">
        <f>K16+K27</f>
        <v>0</v>
      </c>
      <c r="L29" s="178">
        <f>L16+L27</f>
        <v>0</v>
      </c>
      <c r="M29" s="179">
        <f>M16+M27</f>
        <v>0</v>
      </c>
    </row>
    <row r="32" spans="1:13" x14ac:dyDescent="0.35">
      <c r="A32" s="4"/>
      <c r="B32" s="4"/>
      <c r="C32" s="4"/>
      <c r="D32" s="4"/>
      <c r="E32" s="4"/>
    </row>
    <row r="33" spans="1:5" x14ac:dyDescent="0.35">
      <c r="C33" s="18"/>
      <c r="D33" s="18"/>
      <c r="E33" s="19"/>
    </row>
    <row r="34" spans="1:5" x14ac:dyDescent="0.35">
      <c r="C34" s="18"/>
      <c r="D34" s="18"/>
      <c r="E34" s="19"/>
    </row>
    <row r="35" spans="1:5" x14ac:dyDescent="0.35">
      <c r="C35" s="18"/>
      <c r="D35" s="18"/>
      <c r="E35" s="19"/>
    </row>
    <row r="36" spans="1:5" x14ac:dyDescent="0.35">
      <c r="A36" s="2"/>
      <c r="C36" s="18"/>
      <c r="D36" s="18"/>
      <c r="E36" s="19"/>
    </row>
    <row r="37" spans="1:5" x14ac:dyDescent="0.35">
      <c r="C37" s="18"/>
      <c r="D37" s="18"/>
      <c r="E37" s="19"/>
    </row>
    <row r="38" spans="1:5" x14ac:dyDescent="0.35">
      <c r="C38" s="18"/>
      <c r="D38" s="18"/>
      <c r="E38" s="19"/>
    </row>
    <row r="39" spans="1:5" x14ac:dyDescent="0.35">
      <c r="C39" s="18"/>
      <c r="D39" s="18"/>
      <c r="E39" s="19"/>
    </row>
    <row r="40" spans="1:5" x14ac:dyDescent="0.35">
      <c r="C40" s="18"/>
      <c r="D40" s="18"/>
      <c r="E40" s="19"/>
    </row>
    <row r="41" spans="1:5" x14ac:dyDescent="0.35">
      <c r="A41" s="4"/>
      <c r="B41" s="4"/>
      <c r="C41" s="18"/>
      <c r="D41" s="18"/>
      <c r="E41" s="19"/>
    </row>
    <row r="42" spans="1:5" x14ac:dyDescent="0.35">
      <c r="C42" s="18"/>
      <c r="D42" s="18"/>
      <c r="E42" s="19"/>
    </row>
    <row r="43" spans="1:5" x14ac:dyDescent="0.35">
      <c r="C43" s="18"/>
      <c r="D43" s="18"/>
      <c r="E43" s="19"/>
    </row>
    <row r="44" spans="1:5" x14ac:dyDescent="0.35">
      <c r="B44" s="4"/>
      <c r="C44" s="18"/>
      <c r="D44" s="18"/>
      <c r="E44" s="19"/>
    </row>
    <row r="45" spans="1:5" x14ac:dyDescent="0.35">
      <c r="C45" s="18"/>
      <c r="D45" s="18"/>
      <c r="E45" s="19"/>
    </row>
    <row r="46" spans="1:5" x14ac:dyDescent="0.35">
      <c r="C46" s="18"/>
      <c r="D46" s="18"/>
      <c r="E46" s="19"/>
    </row>
    <row r="47" spans="1:5" x14ac:dyDescent="0.35">
      <c r="C47" s="18"/>
      <c r="D47" s="18"/>
      <c r="E47" s="19"/>
    </row>
    <row r="48" spans="1:5" x14ac:dyDescent="0.35">
      <c r="A48" s="4"/>
      <c r="B48" s="4"/>
      <c r="C48" s="18"/>
      <c r="D48" s="18"/>
      <c r="E48" s="19"/>
    </row>
    <row r="49" spans="1:5" x14ac:dyDescent="0.35">
      <c r="C49" s="18"/>
      <c r="D49" s="18"/>
      <c r="E49" s="19"/>
    </row>
    <row r="50" spans="1:5" x14ac:dyDescent="0.35">
      <c r="C50" s="18"/>
      <c r="D50" s="18"/>
      <c r="E50" s="19"/>
    </row>
    <row r="51" spans="1:5" x14ac:dyDescent="0.35">
      <c r="C51" s="18"/>
      <c r="D51" s="18"/>
      <c r="E51" s="19"/>
    </row>
    <row r="52" spans="1:5" x14ac:dyDescent="0.35">
      <c r="C52" s="18"/>
      <c r="D52" s="18"/>
      <c r="E52" s="19"/>
    </row>
    <row r="53" spans="1:5" x14ac:dyDescent="0.35">
      <c r="A53" s="2"/>
      <c r="C53" s="18"/>
      <c r="D53" s="18"/>
      <c r="E53" s="19"/>
    </row>
    <row r="54" spans="1:5" x14ac:dyDescent="0.35">
      <c r="C54" s="18"/>
      <c r="D54" s="18"/>
      <c r="E54" s="19"/>
    </row>
    <row r="55" spans="1:5" x14ac:dyDescent="0.35">
      <c r="C55" s="18"/>
      <c r="D55" s="18"/>
      <c r="E55" s="19"/>
    </row>
    <row r="56" spans="1:5" x14ac:dyDescent="0.35">
      <c r="A56" s="2"/>
      <c r="C56" s="18"/>
      <c r="D56" s="18"/>
      <c r="E56" s="19"/>
    </row>
    <row r="57" spans="1:5" x14ac:dyDescent="0.35">
      <c r="C57" s="18"/>
      <c r="D57" s="18"/>
      <c r="E57" s="19"/>
    </row>
    <row r="58" spans="1:5" x14ac:dyDescent="0.35">
      <c r="A58" s="2"/>
      <c r="C58" s="18"/>
      <c r="D58" s="18"/>
      <c r="E58" s="19"/>
    </row>
    <row r="59" spans="1:5" x14ac:dyDescent="0.35">
      <c r="C59" s="18"/>
      <c r="D59" s="18"/>
      <c r="E59" s="19"/>
    </row>
    <row r="62" spans="1:5" ht="15.5" x14ac:dyDescent="0.35">
      <c r="A62" s="7"/>
    </row>
    <row r="63" spans="1:5" ht="15.5" x14ac:dyDescent="0.35">
      <c r="A63" s="21"/>
    </row>
    <row r="64" spans="1:5" ht="15.5" x14ac:dyDescent="0.35">
      <c r="A64" s="21"/>
    </row>
    <row r="65" spans="1:1" ht="15.5" x14ac:dyDescent="0.35">
      <c r="A65"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Ohjeet</vt:lpstr>
      <vt:lpstr>Korjuuketju</vt:lpstr>
      <vt:lpstr>Hakkuukone</vt:lpstr>
      <vt:lpstr>Kuormatraktori</vt:lpstr>
      <vt:lpstr>Herkkyysanalyysi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Puunkorjuun konekustannusten laskentapohja</dc:title>
  <dc:subject/>
  <dc:creator>Kalle Kärhä</dc:creator>
  <cp:keywords/>
  <dc:description/>
  <cp:lastModifiedBy>Kalle Kärhä</cp:lastModifiedBy>
  <cp:revision/>
  <dcterms:created xsi:type="dcterms:W3CDTF">2023-01-23T14:41:03Z</dcterms:created>
  <dcterms:modified xsi:type="dcterms:W3CDTF">2023-11-26T18:06:11Z</dcterms:modified>
  <cp:category/>
  <cp:contentStatus/>
</cp:coreProperties>
</file>